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6925"/>
  <workbookPr defaultThemeVersion="124226"/>
  <mc:AlternateContent xmlns:mc="http://schemas.openxmlformats.org/markup-compatibility/2006">
    <mc:Choice Requires="x15">
      <x15ac:absPath xmlns:x15ac="http://schemas.microsoft.com/office/spreadsheetml/2010/11/ac" url="C:\Users\Craig\Desktop\B - PROJECTS\Philippine Projects\PNP\"/>
    </mc:Choice>
  </mc:AlternateContent>
  <bookViews>
    <workbookView xWindow="0" yWindow="0" windowWidth="24000" windowHeight="9495"/>
  </bookViews>
  <sheets>
    <sheet name="Investment Memorandum" sheetId="1" r:id="rId1"/>
    <sheet name="Loan Amortization Schedule" sheetId="5" r:id="rId2"/>
    <sheet name="IRR Template (Var)" sheetId="14" r:id="rId3"/>
    <sheet name="ROI Template (Var)" sheetId="9" r:id="rId4"/>
    <sheet name="Notes" sheetId="15" r:id="rId5"/>
    <sheet name="Sheet3" sheetId="3" state="hidden" r:id="rId6"/>
  </sheets>
  <externalReferences>
    <externalReference r:id="rId7"/>
  </externalReferences>
  <definedNames>
    <definedName name="__top" localSheetId="2">'IRR Template (Var)'!#REF!</definedName>
    <definedName name="Beg_Bal">'Loan Amortization Schedule'!$C$17:$C$496</definedName>
    <definedName name="Cum_Int">'Loan Amortization Schedule'!$J$17:$J$496</definedName>
    <definedName name="Data">'Loan Amortization Schedule'!$A$17:$J$496</definedName>
    <definedName name="definition" localSheetId="0">'Investment Memorandum'!#REF!</definedName>
    <definedName name="End_Bal">'Loan Amortization Schedule'!$I$17:$I$496</definedName>
    <definedName name="Extra_Pay">'Loan Amortization Schedule'!$E$17:$E$496</definedName>
    <definedName name="Full_Print">'Loan Amortization Schedule'!$A$1:$J$496</definedName>
    <definedName name="Header_Row">ROW('Loan Amortization Schedule'!$16:$16)</definedName>
    <definedName name="Int">'Loan Amortization Schedule'!$H$17:$H$496</definedName>
    <definedName name="Interest_Rate">'Loan Amortization Schedule'!$D$6</definedName>
    <definedName name="Last_Row">IF(Values_Entered,Header_Row+Number_of_Payments,Header_Row)</definedName>
    <definedName name="Loan_Amount">'Loan Amortization Schedule'!$D$5</definedName>
    <definedName name="Loan_Start">'Loan Amortization Schedule'!$D$9</definedName>
    <definedName name="Loan_Years">'Loan Amortization Schedule'!$D$7</definedName>
    <definedName name="Num_Pmt_Per_Year">'Loan Amortization Schedule'!$D$8</definedName>
    <definedName name="Number_of_Payments">MATCH(0.01,End_Bal,-1)+1</definedName>
    <definedName name="Pay_Date">'Loan Amortization Schedule'!$B$17:$B$496</definedName>
    <definedName name="Pay_Num">'Loan Amortization Schedule'!$A$17:$A$496</definedName>
    <definedName name="Payment_Date" localSheetId="2">DATE(YEAR([1]!Loan_Start),MONTH([1]!Loan_Start)+Payment_Number,DAY([1]!Loan_Start))</definedName>
    <definedName name="Payment_Date" localSheetId="3">DATE(YEAR([1]!Loan_Start),MONTH([1]!Loan_Start)+Payment_Number,DAY([1]!Loan_Start))</definedName>
    <definedName name="Payment_Date">DATE(YEAR(Loan_Start),MONTH(Loan_Start)+Payment_Number,DAY(Loan_Start))</definedName>
    <definedName name="Princ">'Loan Amortization Schedule'!$G$17:$G$496</definedName>
    <definedName name="_xlnm.Print_Area" localSheetId="0">'Investment Memorandum'!$A$1:$J$61</definedName>
    <definedName name="_xlnm.Print_Area" localSheetId="1">'Loan Amortization Schedule'!$A$1:$M$136</definedName>
    <definedName name="_xlnm.Print_Area" localSheetId="3">'ROI Template (Var)'!$A$1:$F$40</definedName>
    <definedName name="Print_Area_Reset">OFFSET(Full_Print,0,0,Last_Row)</definedName>
    <definedName name="_xlnm.Print_Titles" localSheetId="1">'Loan Amortization Schedule'!$14:$16</definedName>
    <definedName name="Sched_Pay">'Loan Amortization Schedule'!$D$17:$D$496</definedName>
    <definedName name="Scheduled_Extra_Payments">'Loan Amortization Schedule'!$D$10</definedName>
    <definedName name="Scheduled_Interest_Rate">'Loan Amortization Schedule'!$D$6</definedName>
    <definedName name="Scheduled_Monthly_Payment">'Loan Amortization Schedule'!$J$5</definedName>
    <definedName name="Total_Interest">'Loan Amortization Schedule'!$J$9</definedName>
    <definedName name="Total_Pay">'Loan Amortization Schedule'!$F$17:$F$496</definedName>
    <definedName name="Values_Entered">IF(Loan_Amount*Interest_Rate*Loan_Years*Loan_Start&gt;0,1,0)</definedName>
  </definedNames>
  <calcPr calcId="171027"/>
</workbook>
</file>

<file path=xl/calcChain.xml><?xml version="1.0" encoding="utf-8"?>
<calcChain xmlns="http://schemas.openxmlformats.org/spreadsheetml/2006/main">
  <c r="C51" i="1" l="1"/>
  <c r="C49" i="1"/>
  <c r="C50" i="1" l="1"/>
  <c r="F13" i="1"/>
  <c r="G16" i="1" l="1"/>
  <c r="C13" i="1" l="1"/>
  <c r="C11" i="1"/>
  <c r="E8" i="1" l="1"/>
  <c r="C57" i="1" l="1"/>
  <c r="C56" i="1"/>
  <c r="C55" i="1"/>
  <c r="I36" i="1" l="1"/>
  <c r="E7" i="1"/>
  <c r="C23" i="1" l="1"/>
  <c r="C24" i="1"/>
  <c r="C25" i="1"/>
  <c r="C41" i="1"/>
  <c r="C42" i="1"/>
  <c r="C40" i="1"/>
  <c r="F50" i="1"/>
  <c r="C45" i="1"/>
  <c r="G12" i="1"/>
  <c r="I12" i="1" s="1"/>
  <c r="J12" i="1" s="1"/>
  <c r="G26" i="1" s="1"/>
  <c r="C12" i="1"/>
  <c r="C52" i="1" l="1"/>
  <c r="G30" i="1"/>
  <c r="C26" i="1"/>
  <c r="J20" i="1"/>
  <c r="C17" i="1"/>
  <c r="D10" i="5" l="1"/>
  <c r="D9" i="5"/>
  <c r="D8" i="5"/>
  <c r="D7" i="5"/>
  <c r="D6" i="5"/>
  <c r="D3" i="1" l="1"/>
  <c r="D4" i="1" s="1"/>
  <c r="D5" i="1" s="1"/>
  <c r="D6" i="1" s="1"/>
  <c r="D7" i="1" s="1"/>
  <c r="D8" i="1" s="1"/>
  <c r="D9" i="1" s="1"/>
  <c r="D10" i="1" s="1"/>
  <c r="D11" i="1" s="1"/>
  <c r="D12" i="1" s="1"/>
  <c r="D13" i="1" s="1"/>
  <c r="D14" i="1" s="1"/>
  <c r="D15" i="1" s="1"/>
  <c r="D16" i="1" s="1"/>
  <c r="D17" i="1" s="1"/>
  <c r="D18" i="1" s="1"/>
  <c r="D19" i="1" s="1"/>
  <c r="D20" i="1" s="1"/>
  <c r="D21" i="1" s="1"/>
  <c r="D22" i="1" s="1"/>
  <c r="D23" i="1" s="1"/>
  <c r="D24" i="1" s="1"/>
  <c r="D25" i="1" s="1"/>
  <c r="D26" i="1" s="1"/>
  <c r="D27" i="1" s="1"/>
  <c r="D28" i="1" s="1"/>
  <c r="D29" i="1" s="1"/>
  <c r="D30" i="1" s="1"/>
  <c r="D31" i="1" s="1"/>
  <c r="D32" i="1" s="1"/>
  <c r="D33" i="1" s="1"/>
  <c r="D34" i="1" s="1"/>
  <c r="D35" i="1" s="1"/>
  <c r="D36" i="1" s="1"/>
  <c r="D37" i="1" s="1"/>
  <c r="D38" i="1" s="1"/>
  <c r="D39" i="1" s="1"/>
  <c r="D40" i="1" s="1"/>
  <c r="D41" i="1" s="1"/>
  <c r="D42" i="1" s="1"/>
  <c r="D43" i="1" s="1"/>
  <c r="D44" i="1" s="1"/>
  <c r="D45" i="1" s="1"/>
  <c r="D46" i="1" s="1"/>
  <c r="D47" i="1" s="1"/>
  <c r="D48" i="1" s="1"/>
  <c r="D49" i="1" s="1"/>
  <c r="D50" i="1" s="1"/>
  <c r="D51" i="1" s="1"/>
  <c r="D52" i="1" s="1"/>
  <c r="D53" i="1" s="1"/>
  <c r="D54" i="1" s="1"/>
  <c r="A3" i="1"/>
  <c r="A4" i="1" s="1"/>
  <c r="A5" i="1" s="1"/>
  <c r="A6" i="1" s="1"/>
  <c r="C7" i="15" l="1"/>
  <c r="A7" i="9" l="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7" i="1"/>
  <c r="A8" i="1" s="1"/>
  <c r="A9" i="1" s="1"/>
  <c r="A10" i="1" s="1"/>
  <c r="A11" i="1" s="1"/>
  <c r="A12" i="1" s="1"/>
  <c r="A13" i="1" s="1"/>
  <c r="A14" i="1" s="1"/>
  <c r="A15" i="1" s="1"/>
  <c r="A16" i="1" s="1"/>
  <c r="A17" i="1" s="1"/>
  <c r="A18" i="1" s="1"/>
  <c r="A19" i="1" s="1"/>
  <c r="A20" i="1" s="1"/>
  <c r="A21" i="1" s="1"/>
  <c r="A22" i="1" s="1"/>
  <c r="A23" i="1" s="1"/>
  <c r="A24" i="1" s="1"/>
  <c r="A25" i="1" s="1"/>
  <c r="A26" i="1" s="1"/>
  <c r="C16" i="1" l="1"/>
  <c r="C5" i="14" l="1"/>
  <c r="G31" i="1"/>
  <c r="J18" i="1"/>
  <c r="J19" i="1" s="1"/>
  <c r="C19" i="1" s="1"/>
  <c r="D8" i="9"/>
  <c r="D7" i="9"/>
  <c r="D30" i="9"/>
  <c r="D29" i="9"/>
  <c r="D28" i="9"/>
  <c r="D27" i="9"/>
  <c r="D26" i="9"/>
  <c r="D25" i="9"/>
  <c r="D24" i="9"/>
  <c r="D23" i="9"/>
  <c r="D22" i="9"/>
  <c r="D21" i="9"/>
  <c r="D20" i="9"/>
  <c r="D19" i="9"/>
  <c r="D18" i="9"/>
  <c r="D17" i="9"/>
  <c r="D16" i="9"/>
  <c r="D15" i="9"/>
  <c r="D14" i="9"/>
  <c r="D13" i="9"/>
  <c r="D12" i="9"/>
  <c r="D11" i="9"/>
  <c r="D10" i="9"/>
  <c r="D9" i="9"/>
  <c r="D6" i="9"/>
  <c r="C27" i="1" l="1"/>
  <c r="C30" i="1" s="1"/>
  <c r="F8" i="14"/>
  <c r="J8" i="14"/>
  <c r="N8" i="14"/>
  <c r="R8" i="14"/>
  <c r="V8" i="14"/>
  <c r="Z8" i="14"/>
  <c r="S8" i="14"/>
  <c r="AA8" i="14"/>
  <c r="P8" i="14"/>
  <c r="X8" i="14"/>
  <c r="I8" i="14"/>
  <c r="Q8" i="14"/>
  <c r="Y8" i="14"/>
  <c r="G8" i="14"/>
  <c r="K8" i="14"/>
  <c r="O8" i="14"/>
  <c r="W8" i="14"/>
  <c r="H8" i="14"/>
  <c r="T8" i="14"/>
  <c r="AB8" i="14"/>
  <c r="M8" i="14"/>
  <c r="U8" i="14"/>
  <c r="E8" i="14"/>
  <c r="L8" i="14"/>
  <c r="D8" i="14"/>
  <c r="C18" i="1"/>
  <c r="D32" i="9"/>
  <c r="E6" i="9"/>
  <c r="E7" i="9" s="1"/>
  <c r="E8" i="9" s="1"/>
  <c r="E9" i="9" s="1"/>
  <c r="E10" i="9" s="1"/>
  <c r="E11" i="9" s="1"/>
  <c r="E12" i="9" s="1"/>
  <c r="E13" i="9" s="1"/>
  <c r="E14" i="9" s="1"/>
  <c r="E15" i="9" s="1"/>
  <c r="E16" i="9" s="1"/>
  <c r="E17" i="9" s="1"/>
  <c r="E18" i="9" s="1"/>
  <c r="E19" i="9" s="1"/>
  <c r="E20" i="9" s="1"/>
  <c r="E21" i="9" s="1"/>
  <c r="E22" i="9" s="1"/>
  <c r="E23" i="9" s="1"/>
  <c r="E24" i="9" s="1"/>
  <c r="E25" i="9" s="1"/>
  <c r="E26" i="9" s="1"/>
  <c r="E27" i="9" s="1"/>
  <c r="E28" i="9" s="1"/>
  <c r="E29" i="9" s="1"/>
  <c r="E30" i="9" s="1"/>
  <c r="C22" i="1"/>
  <c r="C39" i="9" l="1"/>
  <c r="H37" i="1" l="1"/>
  <c r="B23" i="9"/>
  <c r="B18" i="9"/>
  <c r="B30" i="9"/>
  <c r="B28" i="9"/>
  <c r="B26" i="9"/>
  <c r="B24" i="9"/>
  <c r="B21" i="9"/>
  <c r="B20" i="9"/>
  <c r="B16" i="9"/>
  <c r="B29" i="9"/>
  <c r="B27" i="9"/>
  <c r="B25" i="9"/>
  <c r="B22" i="9"/>
  <c r="B19" i="9"/>
  <c r="B17" i="9"/>
  <c r="C35" i="1" l="1"/>
  <c r="C46" i="1" l="1"/>
  <c r="I37" i="1" s="1"/>
  <c r="J17" i="1"/>
  <c r="J21" i="1" s="1"/>
  <c r="I38" i="1" l="1"/>
  <c r="J37" i="1"/>
  <c r="C8" i="14"/>
  <c r="C3" i="14" s="1"/>
  <c r="C60" i="1" s="1"/>
  <c r="D5" i="5"/>
  <c r="A17" i="5" s="1"/>
  <c r="B17" i="5" l="1"/>
  <c r="J5" i="5"/>
  <c r="D17" i="5" s="1"/>
  <c r="J6" i="5"/>
  <c r="C17" i="5"/>
  <c r="H17" i="5" s="1"/>
  <c r="A18" i="5"/>
  <c r="J17" i="5" l="1"/>
  <c r="E17" i="5"/>
  <c r="F17" i="5" s="1"/>
  <c r="B18" i="5"/>
  <c r="D18" i="5"/>
  <c r="A19" i="5"/>
  <c r="G17" i="5" l="1"/>
  <c r="D19" i="5"/>
  <c r="B19" i="5"/>
  <c r="A20" i="5"/>
  <c r="B20" i="5" l="1"/>
  <c r="D20" i="5"/>
  <c r="A21" i="5"/>
  <c r="I17" i="5"/>
  <c r="B21" i="5" l="1"/>
  <c r="D21" i="5"/>
  <c r="A22" i="5"/>
  <c r="C18" i="5"/>
  <c r="H18" i="5" l="1"/>
  <c r="E18" i="5"/>
  <c r="D22" i="5"/>
  <c r="B22" i="5"/>
  <c r="A23" i="5"/>
  <c r="B23" i="5" l="1"/>
  <c r="D23" i="5"/>
  <c r="A24" i="5"/>
  <c r="J18" i="5"/>
  <c r="F18" i="5"/>
  <c r="B24" i="5" l="1"/>
  <c r="D24" i="5"/>
  <c r="A25" i="5"/>
  <c r="G18" i="5"/>
  <c r="B25" i="5" l="1"/>
  <c r="D25" i="5"/>
  <c r="A26" i="5"/>
  <c r="I18" i="5"/>
  <c r="B26" i="5" l="1"/>
  <c r="D26" i="5"/>
  <c r="A27" i="5"/>
  <c r="C19" i="5"/>
  <c r="D27" i="5" l="1"/>
  <c r="B27" i="5"/>
  <c r="A28" i="5"/>
  <c r="E19" i="5"/>
  <c r="H19" i="5"/>
  <c r="F19" i="5" l="1"/>
  <c r="B28" i="5"/>
  <c r="D28" i="5"/>
  <c r="A29" i="5"/>
  <c r="J19" i="5"/>
  <c r="B29" i="5" l="1"/>
  <c r="D29" i="5"/>
  <c r="A30" i="5"/>
  <c r="G19" i="5"/>
  <c r="I19" i="5" l="1"/>
  <c r="B30" i="5"/>
  <c r="D30" i="5"/>
  <c r="A31" i="5"/>
  <c r="D31" i="5" l="1"/>
  <c r="B31" i="5"/>
  <c r="A32" i="5"/>
  <c r="C20" i="5"/>
  <c r="H20" i="5" l="1"/>
  <c r="E20" i="5"/>
  <c r="D32" i="5"/>
  <c r="B32" i="5"/>
  <c r="A33" i="5"/>
  <c r="J20" i="5" l="1"/>
  <c r="D33" i="5"/>
  <c r="B33" i="5"/>
  <c r="A34" i="5"/>
  <c r="F20" i="5"/>
  <c r="B34" i="5" l="1"/>
  <c r="D34" i="5"/>
  <c r="A35" i="5"/>
  <c r="G20" i="5"/>
  <c r="B35" i="5" l="1"/>
  <c r="D35" i="5"/>
  <c r="A36" i="5"/>
  <c r="I20" i="5"/>
  <c r="B36" i="5" l="1"/>
  <c r="D36" i="5"/>
  <c r="A37" i="5"/>
  <c r="C21" i="5"/>
  <c r="D37" i="5" l="1"/>
  <c r="B37" i="5"/>
  <c r="A38" i="5"/>
  <c r="H21" i="5"/>
  <c r="E21" i="5"/>
  <c r="J21" i="5" l="1"/>
  <c r="B38" i="5"/>
  <c r="D38" i="5"/>
  <c r="A39" i="5"/>
  <c r="F21" i="5"/>
  <c r="G21" i="5" l="1"/>
  <c r="D39" i="5"/>
  <c r="B39" i="5"/>
  <c r="A40" i="5"/>
  <c r="I21" i="5" l="1"/>
  <c r="C22" i="5" s="1"/>
  <c r="D40" i="5"/>
  <c r="B40" i="5"/>
  <c r="A41" i="5"/>
  <c r="H22" i="5" l="1"/>
  <c r="J22" i="5" s="1"/>
  <c r="E22" i="5"/>
  <c r="B41" i="5"/>
  <c r="D41" i="5"/>
  <c r="A42" i="5"/>
  <c r="F22" i="5" l="1"/>
  <c r="G22" i="5" s="1"/>
  <c r="I22" i="5" s="1"/>
  <c r="C23" i="5" s="1"/>
  <c r="D42" i="5"/>
  <c r="B42" i="5"/>
  <c r="A43" i="5"/>
  <c r="H23" i="5" l="1"/>
  <c r="J23" i="5" s="1"/>
  <c r="E23" i="5"/>
  <c r="D43" i="5"/>
  <c r="B43" i="5"/>
  <c r="A44" i="5"/>
  <c r="F23" i="5" l="1"/>
  <c r="G23" i="5" s="1"/>
  <c r="I23" i="5" s="1"/>
  <c r="C24" i="5" s="1"/>
  <c r="D44" i="5"/>
  <c r="B44" i="5"/>
  <c r="A45" i="5"/>
  <c r="H24" i="5" l="1"/>
  <c r="J24" i="5" s="1"/>
  <c r="E24" i="5"/>
  <c r="B45" i="5"/>
  <c r="D45" i="5"/>
  <c r="A46" i="5"/>
  <c r="B46" i="5" l="1"/>
  <c r="D46" i="5"/>
  <c r="A47" i="5"/>
  <c r="F24" i="5"/>
  <c r="G24" i="5" s="1"/>
  <c r="I24" i="5" s="1"/>
  <c r="C25" i="5" s="1"/>
  <c r="H25" i="5" l="1"/>
  <c r="J25" i="5" s="1"/>
  <c r="E25" i="5"/>
  <c r="B47" i="5"/>
  <c r="D47" i="5"/>
  <c r="A48" i="5"/>
  <c r="D48" i="5" l="1"/>
  <c r="B48" i="5"/>
  <c r="A49" i="5"/>
  <c r="F25" i="5"/>
  <c r="G25" i="5" s="1"/>
  <c r="I25" i="5" s="1"/>
  <c r="C26" i="5" s="1"/>
  <c r="H26" i="5" l="1"/>
  <c r="J26" i="5" s="1"/>
  <c r="E26" i="5"/>
  <c r="D49" i="5"/>
  <c r="B49" i="5"/>
  <c r="A50" i="5"/>
  <c r="B50" i="5" l="1"/>
  <c r="D50" i="5"/>
  <c r="A51" i="5"/>
  <c r="F26" i="5"/>
  <c r="G26" i="5" s="1"/>
  <c r="I26" i="5" s="1"/>
  <c r="C27" i="5" s="1"/>
  <c r="B51" i="5" l="1"/>
  <c r="D51" i="5"/>
  <c r="A52" i="5"/>
  <c r="E27" i="5"/>
  <c r="H27" i="5"/>
  <c r="J27" i="5" s="1"/>
  <c r="D52" i="5" l="1"/>
  <c r="B52" i="5"/>
  <c r="A53" i="5"/>
  <c r="F27" i="5"/>
  <c r="G27" i="5" s="1"/>
  <c r="I27" i="5" s="1"/>
  <c r="C28" i="5" s="1"/>
  <c r="H28" i="5" l="1"/>
  <c r="L28" i="5" s="1"/>
  <c r="E28" i="5"/>
  <c r="B53" i="5"/>
  <c r="D53" i="5"/>
  <c r="A54" i="5"/>
  <c r="F28" i="5" l="1"/>
  <c r="M28" i="5" s="1"/>
  <c r="H35" i="1" s="1"/>
  <c r="B54" i="5"/>
  <c r="D54" i="5"/>
  <c r="A55" i="5"/>
  <c r="J28" i="5"/>
  <c r="B55" i="5" l="1"/>
  <c r="D55" i="5"/>
  <c r="A56" i="5"/>
  <c r="G28" i="5"/>
  <c r="K28" i="5" s="1"/>
  <c r="C33" i="1"/>
  <c r="H36" i="1" s="1"/>
  <c r="I28" i="5" l="1"/>
  <c r="C29" i="5" s="1"/>
  <c r="C38" i="9"/>
  <c r="C40" i="9" s="1"/>
  <c r="D56" i="5"/>
  <c r="B56" i="5"/>
  <c r="A57" i="5"/>
  <c r="B57" i="5" l="1"/>
  <c r="D57" i="5"/>
  <c r="A58" i="5"/>
  <c r="B7" i="9"/>
  <c r="B14" i="9"/>
  <c r="B13" i="9"/>
  <c r="B12" i="9"/>
  <c r="B11" i="9"/>
  <c r="B10" i="9"/>
  <c r="B9" i="9"/>
  <c r="B8" i="9"/>
  <c r="B6" i="9"/>
  <c r="B15" i="9"/>
  <c r="C34" i="1"/>
  <c r="J36" i="1"/>
  <c r="J38" i="1" s="1"/>
  <c r="C36" i="1" s="1"/>
  <c r="H29" i="5"/>
  <c r="J29" i="5" s="1"/>
  <c r="E29" i="5"/>
  <c r="B58" i="5" l="1"/>
  <c r="D58" i="5"/>
  <c r="A59" i="5"/>
  <c r="F29" i="5"/>
  <c r="G29" i="5" s="1"/>
  <c r="I29" i="5" s="1"/>
  <c r="C30" i="5" s="1"/>
  <c r="C6" i="9"/>
  <c r="C7" i="9" s="1"/>
  <c r="C8" i="9" s="1"/>
  <c r="C9" i="9" s="1"/>
  <c r="C10" i="9" s="1"/>
  <c r="C11" i="9" s="1"/>
  <c r="C12" i="9" s="1"/>
  <c r="C13" i="9" s="1"/>
  <c r="C14" i="9" s="1"/>
  <c r="C15" i="9" s="1"/>
  <c r="C16" i="9" s="1"/>
  <c r="C17" i="9" s="1"/>
  <c r="C18" i="9" s="1"/>
  <c r="C19" i="9" s="1"/>
  <c r="C20" i="9" s="1"/>
  <c r="C21" i="9" s="1"/>
  <c r="C22" i="9" s="1"/>
  <c r="C23" i="9" s="1"/>
  <c r="C24" i="9" s="1"/>
  <c r="C25" i="9" s="1"/>
  <c r="C26" i="9" s="1"/>
  <c r="C27" i="9" s="1"/>
  <c r="C28" i="9" s="1"/>
  <c r="C29" i="9" s="1"/>
  <c r="C30" i="9" s="1"/>
  <c r="B32" i="9"/>
  <c r="C34" i="9" s="1"/>
  <c r="C61" i="1" s="1"/>
  <c r="H30" i="5" l="1"/>
  <c r="J30" i="5" s="1"/>
  <c r="E30" i="5"/>
  <c r="B59" i="5"/>
  <c r="D59" i="5"/>
  <c r="A60" i="5"/>
  <c r="F30" i="5" l="1"/>
  <c r="G30" i="5" s="1"/>
  <c r="I30" i="5" s="1"/>
  <c r="C31" i="5" s="1"/>
  <c r="D60" i="5"/>
  <c r="B60" i="5"/>
  <c r="A61" i="5"/>
  <c r="E31" i="5" l="1"/>
  <c r="H31" i="5"/>
  <c r="J31" i="5" s="1"/>
  <c r="D61" i="5"/>
  <c r="B61" i="5"/>
  <c r="A62" i="5"/>
  <c r="F31" i="5" l="1"/>
  <c r="G31" i="5" s="1"/>
  <c r="I31" i="5" s="1"/>
  <c r="C32" i="5" s="1"/>
  <c r="B62" i="5"/>
  <c r="D62" i="5"/>
  <c r="A63" i="5"/>
  <c r="H32" i="5" l="1"/>
  <c r="J32" i="5" s="1"/>
  <c r="E32" i="5"/>
  <c r="D63" i="5"/>
  <c r="B63" i="5"/>
  <c r="A64" i="5"/>
  <c r="F32" i="5" l="1"/>
  <c r="G32" i="5" s="1"/>
  <c r="I32" i="5" s="1"/>
  <c r="C33" i="5" s="1"/>
  <c r="D64" i="5"/>
  <c r="B64" i="5"/>
  <c r="A65" i="5"/>
  <c r="H33" i="5" l="1"/>
  <c r="J33" i="5" s="1"/>
  <c r="E33" i="5"/>
  <c r="D65" i="5"/>
  <c r="B65" i="5"/>
  <c r="A66" i="5"/>
  <c r="F33" i="5" l="1"/>
  <c r="G33" i="5" s="1"/>
  <c r="I33" i="5" s="1"/>
  <c r="C34" i="5" s="1"/>
  <c r="B66" i="5"/>
  <c r="D66" i="5"/>
  <c r="A67" i="5"/>
  <c r="D67" i="5" l="1"/>
  <c r="B67" i="5"/>
  <c r="A68" i="5"/>
  <c r="H34" i="5"/>
  <c r="J34" i="5" s="1"/>
  <c r="E34" i="5"/>
  <c r="F34" i="5" l="1"/>
  <c r="G34" i="5" s="1"/>
  <c r="I34" i="5" s="1"/>
  <c r="C35" i="5" s="1"/>
  <c r="D68" i="5"/>
  <c r="B68" i="5"/>
  <c r="A69" i="5"/>
  <c r="H35" i="5" l="1"/>
  <c r="J35" i="5" s="1"/>
  <c r="E35" i="5"/>
  <c r="D69" i="5"/>
  <c r="B69" i="5"/>
  <c r="A70" i="5"/>
  <c r="F35" i="5" l="1"/>
  <c r="G35" i="5" s="1"/>
  <c r="I35" i="5" s="1"/>
  <c r="C36" i="5" s="1"/>
  <c r="D70" i="5"/>
  <c r="B70" i="5"/>
  <c r="A71" i="5"/>
  <c r="H36" i="5" l="1"/>
  <c r="J36" i="5" s="1"/>
  <c r="E36" i="5"/>
  <c r="D71" i="5"/>
  <c r="B71" i="5"/>
  <c r="A72" i="5"/>
  <c r="D72" i="5" l="1"/>
  <c r="B72" i="5"/>
  <c r="A73" i="5"/>
  <c r="F36" i="5"/>
  <c r="G36" i="5" s="1"/>
  <c r="I36" i="5" s="1"/>
  <c r="C37" i="5" s="1"/>
  <c r="H37" i="5" l="1"/>
  <c r="J37" i="5" s="1"/>
  <c r="E37" i="5"/>
  <c r="D73" i="5"/>
  <c r="B73" i="5"/>
  <c r="A74" i="5"/>
  <c r="D74" i="5" l="1"/>
  <c r="B74" i="5"/>
  <c r="A75" i="5"/>
  <c r="F37" i="5"/>
  <c r="G37" i="5" s="1"/>
  <c r="I37" i="5" s="1"/>
  <c r="C38" i="5" s="1"/>
  <c r="D75" i="5" l="1"/>
  <c r="B75" i="5"/>
  <c r="A76" i="5"/>
  <c r="H38" i="5"/>
  <c r="J38" i="5" s="1"/>
  <c r="E38" i="5"/>
  <c r="F38" i="5" l="1"/>
  <c r="G38" i="5" s="1"/>
  <c r="I38" i="5" s="1"/>
  <c r="C39" i="5" s="1"/>
  <c r="B76" i="5"/>
  <c r="D76" i="5"/>
  <c r="A77" i="5"/>
  <c r="H39" i="5" l="1"/>
  <c r="J39" i="5" s="1"/>
  <c r="E39" i="5"/>
  <c r="D77" i="5"/>
  <c r="B77" i="5"/>
  <c r="A78" i="5"/>
  <c r="D78" i="5" l="1"/>
  <c r="B78" i="5"/>
  <c r="A79" i="5"/>
  <c r="F39" i="5"/>
  <c r="G39" i="5" s="1"/>
  <c r="I39" i="5" s="1"/>
  <c r="C40" i="5" s="1"/>
  <c r="H40" i="5" l="1"/>
  <c r="J40" i="5" s="1"/>
  <c r="E40" i="5"/>
  <c r="B79" i="5"/>
  <c r="D79" i="5"/>
  <c r="A80" i="5"/>
  <c r="F40" i="5" l="1"/>
  <c r="G40" i="5" s="1"/>
  <c r="I40" i="5" s="1"/>
  <c r="C41" i="5" s="1"/>
  <c r="B80" i="5"/>
  <c r="D80" i="5"/>
  <c r="A81" i="5"/>
  <c r="H41" i="5" l="1"/>
  <c r="J41" i="5" s="1"/>
  <c r="E41" i="5"/>
  <c r="D81" i="5"/>
  <c r="B81" i="5"/>
  <c r="A82" i="5"/>
  <c r="D82" i="5" l="1"/>
  <c r="B82" i="5"/>
  <c r="A83" i="5"/>
  <c r="F41" i="5"/>
  <c r="G41" i="5" s="1"/>
  <c r="I41" i="5" s="1"/>
  <c r="C42" i="5" s="1"/>
  <c r="E42" i="5" l="1"/>
  <c r="H42" i="5"/>
  <c r="J42" i="5" s="1"/>
  <c r="B83" i="5"/>
  <c r="D83" i="5"/>
  <c r="A84" i="5"/>
  <c r="D84" i="5" l="1"/>
  <c r="B84" i="5"/>
  <c r="A85" i="5"/>
  <c r="F42" i="5"/>
  <c r="G42" i="5" s="1"/>
  <c r="I42" i="5" s="1"/>
  <c r="C43" i="5" s="1"/>
  <c r="H43" i="5" l="1"/>
  <c r="J43" i="5" s="1"/>
  <c r="E43" i="5"/>
  <c r="B85" i="5"/>
  <c r="D85" i="5"/>
  <c r="A86" i="5"/>
  <c r="F43" i="5" l="1"/>
  <c r="G43" i="5" s="1"/>
  <c r="I43" i="5" s="1"/>
  <c r="C44" i="5" s="1"/>
  <c r="B86" i="5"/>
  <c r="D86" i="5"/>
  <c r="A87" i="5"/>
  <c r="H44" i="5" l="1"/>
  <c r="J44" i="5" s="1"/>
  <c r="E44" i="5"/>
  <c r="B87" i="5"/>
  <c r="D87" i="5"/>
  <c r="A88" i="5"/>
  <c r="D88" i="5" l="1"/>
  <c r="B88" i="5"/>
  <c r="A89" i="5"/>
  <c r="F44" i="5"/>
  <c r="G44" i="5" s="1"/>
  <c r="I44" i="5" s="1"/>
  <c r="C45" i="5" s="1"/>
  <c r="H45" i="5" l="1"/>
  <c r="J45" i="5" s="1"/>
  <c r="E45" i="5"/>
  <c r="D89" i="5"/>
  <c r="B89" i="5"/>
  <c r="A90" i="5"/>
  <c r="D90" i="5" l="1"/>
  <c r="B90" i="5"/>
  <c r="A91" i="5"/>
  <c r="F45" i="5"/>
  <c r="G45" i="5" s="1"/>
  <c r="I45" i="5" s="1"/>
  <c r="C46" i="5" s="1"/>
  <c r="H46" i="5" l="1"/>
  <c r="J46" i="5" s="1"/>
  <c r="E46" i="5"/>
  <c r="D91" i="5"/>
  <c r="B91" i="5"/>
  <c r="A92" i="5"/>
  <c r="B92" i="5" l="1"/>
  <c r="D92" i="5"/>
  <c r="A93" i="5"/>
  <c r="F46" i="5"/>
  <c r="G46" i="5" s="1"/>
  <c r="I46" i="5" s="1"/>
  <c r="C47" i="5" s="1"/>
  <c r="H47" i="5" l="1"/>
  <c r="J47" i="5" s="1"/>
  <c r="E47" i="5"/>
  <c r="D93" i="5"/>
  <c r="B93" i="5"/>
  <c r="A94" i="5"/>
  <c r="F47" i="5" l="1"/>
  <c r="G47" i="5" s="1"/>
  <c r="I47" i="5" s="1"/>
  <c r="C48" i="5" s="1"/>
  <c r="D94" i="5"/>
  <c r="B94" i="5"/>
  <c r="A95" i="5"/>
  <c r="H48" i="5" l="1"/>
  <c r="J48" i="5" s="1"/>
  <c r="E48" i="5"/>
  <c r="D95" i="5"/>
  <c r="B95" i="5"/>
  <c r="A96" i="5"/>
  <c r="B96" i="5" l="1"/>
  <c r="D96" i="5"/>
  <c r="A97" i="5"/>
  <c r="F48" i="5"/>
  <c r="G48" i="5" s="1"/>
  <c r="I48" i="5" s="1"/>
  <c r="C49" i="5" s="1"/>
  <c r="H49" i="5" l="1"/>
  <c r="J49" i="5" s="1"/>
  <c r="E49" i="5"/>
  <c r="D97" i="5"/>
  <c r="B97" i="5"/>
  <c r="A98" i="5"/>
  <c r="D98" i="5" l="1"/>
  <c r="B98" i="5"/>
  <c r="A99" i="5"/>
  <c r="F49" i="5"/>
  <c r="G49" i="5" s="1"/>
  <c r="I49" i="5" s="1"/>
  <c r="C50" i="5" s="1"/>
  <c r="H50" i="5" l="1"/>
  <c r="J50" i="5" s="1"/>
  <c r="E50" i="5"/>
  <c r="D99" i="5"/>
  <c r="B99" i="5"/>
  <c r="A100" i="5"/>
  <c r="F50" i="5" l="1"/>
  <c r="G50" i="5" s="1"/>
  <c r="I50" i="5" s="1"/>
  <c r="C51" i="5" s="1"/>
  <c r="D100" i="5"/>
  <c r="B100" i="5"/>
  <c r="A101" i="5"/>
  <c r="H51" i="5" l="1"/>
  <c r="J51" i="5" s="1"/>
  <c r="E51" i="5"/>
  <c r="D101" i="5"/>
  <c r="B101" i="5"/>
  <c r="A102" i="5"/>
  <c r="D102" i="5" l="1"/>
  <c r="B102" i="5"/>
  <c r="A103" i="5"/>
  <c r="F51" i="5"/>
  <c r="G51" i="5" s="1"/>
  <c r="I51" i="5" s="1"/>
  <c r="C52" i="5" s="1"/>
  <c r="H52" i="5" l="1"/>
  <c r="J52" i="5" s="1"/>
  <c r="E52" i="5"/>
  <c r="D103" i="5"/>
  <c r="B103" i="5"/>
  <c r="A104" i="5"/>
  <c r="F52" i="5" l="1"/>
  <c r="G52" i="5" s="1"/>
  <c r="I52" i="5" s="1"/>
  <c r="C53" i="5" s="1"/>
  <c r="D104" i="5"/>
  <c r="B104" i="5"/>
  <c r="A105" i="5"/>
  <c r="H53" i="5" l="1"/>
  <c r="J53" i="5" s="1"/>
  <c r="E53" i="5"/>
  <c r="D105" i="5"/>
  <c r="B105" i="5"/>
  <c r="A106" i="5"/>
  <c r="B106" i="5" l="1"/>
  <c r="D106" i="5"/>
  <c r="A107" i="5"/>
  <c r="F53" i="5"/>
  <c r="G53" i="5" s="1"/>
  <c r="I53" i="5" s="1"/>
  <c r="C54" i="5" s="1"/>
  <c r="H54" i="5" l="1"/>
  <c r="J54" i="5" s="1"/>
  <c r="E54" i="5"/>
  <c r="D107" i="5"/>
  <c r="B107" i="5"/>
  <c r="A108" i="5"/>
  <c r="B108" i="5" l="1"/>
  <c r="D108" i="5"/>
  <c r="A109" i="5"/>
  <c r="F54" i="5"/>
  <c r="G54" i="5" s="1"/>
  <c r="I54" i="5" s="1"/>
  <c r="C55" i="5" s="1"/>
  <c r="H55" i="5" l="1"/>
  <c r="J55" i="5" s="1"/>
  <c r="E55" i="5"/>
  <c r="D109" i="5"/>
  <c r="B109" i="5"/>
  <c r="A110" i="5"/>
  <c r="B110" i="5" l="1"/>
  <c r="D110" i="5"/>
  <c r="A111" i="5"/>
  <c r="F55" i="5"/>
  <c r="G55" i="5" s="1"/>
  <c r="I55" i="5" s="1"/>
  <c r="C56" i="5" s="1"/>
  <c r="D111" i="5" l="1"/>
  <c r="B111" i="5"/>
  <c r="A112" i="5"/>
  <c r="H56" i="5"/>
  <c r="J56" i="5" s="1"/>
  <c r="E56" i="5"/>
  <c r="D112" i="5" l="1"/>
  <c r="B112" i="5"/>
  <c r="A113" i="5"/>
  <c r="F56" i="5"/>
  <c r="G56" i="5" s="1"/>
  <c r="I56" i="5" s="1"/>
  <c r="C57" i="5" s="1"/>
  <c r="H57" i="5" l="1"/>
  <c r="J57" i="5" s="1"/>
  <c r="E57" i="5"/>
  <c r="B113" i="5"/>
  <c r="D113" i="5"/>
  <c r="A114" i="5"/>
  <c r="F57" i="5" l="1"/>
  <c r="G57" i="5" s="1"/>
  <c r="I57" i="5" s="1"/>
  <c r="C58" i="5" s="1"/>
  <c r="B114" i="5"/>
  <c r="D114" i="5"/>
  <c r="A115" i="5"/>
  <c r="B115" i="5" l="1"/>
  <c r="D115" i="5"/>
  <c r="A116" i="5"/>
  <c r="H58" i="5"/>
  <c r="J58" i="5" s="1"/>
  <c r="E58" i="5"/>
  <c r="D116" i="5" l="1"/>
  <c r="B116" i="5"/>
  <c r="A117" i="5"/>
  <c r="F58" i="5"/>
  <c r="G58" i="5" s="1"/>
  <c r="I58" i="5" s="1"/>
  <c r="C59" i="5" s="1"/>
  <c r="H59" i="5" l="1"/>
  <c r="J59" i="5" s="1"/>
  <c r="E59" i="5"/>
  <c r="D117" i="5"/>
  <c r="B117" i="5"/>
  <c r="A118" i="5"/>
  <c r="F59" i="5" l="1"/>
  <c r="G59" i="5" s="1"/>
  <c r="I59" i="5" s="1"/>
  <c r="C60" i="5" s="1"/>
  <c r="D118" i="5"/>
  <c r="B118" i="5"/>
  <c r="A119" i="5"/>
  <c r="H60" i="5" l="1"/>
  <c r="J60" i="5" s="1"/>
  <c r="E60" i="5"/>
  <c r="D119" i="5"/>
  <c r="B119" i="5"/>
  <c r="A120" i="5"/>
  <c r="F60" i="5" l="1"/>
  <c r="G60" i="5" s="1"/>
  <c r="I60" i="5" s="1"/>
  <c r="C61" i="5" s="1"/>
  <c r="B120" i="5"/>
  <c r="D120" i="5"/>
  <c r="A121" i="5"/>
  <c r="H61" i="5" l="1"/>
  <c r="J61" i="5" s="1"/>
  <c r="E61" i="5"/>
  <c r="B121" i="5"/>
  <c r="D121" i="5"/>
  <c r="A122" i="5"/>
  <c r="B122" i="5" l="1"/>
  <c r="D122" i="5"/>
  <c r="A123" i="5"/>
  <c r="F61" i="5"/>
  <c r="G61" i="5" s="1"/>
  <c r="I61" i="5" s="1"/>
  <c r="C62" i="5" s="1"/>
  <c r="H62" i="5" l="1"/>
  <c r="J62" i="5" s="1"/>
  <c r="E62" i="5"/>
  <c r="D123" i="5"/>
  <c r="B123" i="5"/>
  <c r="A124" i="5"/>
  <c r="D124" i="5" l="1"/>
  <c r="B124" i="5"/>
  <c r="A125" i="5"/>
  <c r="F62" i="5"/>
  <c r="G62" i="5" s="1"/>
  <c r="I62" i="5" s="1"/>
  <c r="C63" i="5" s="1"/>
  <c r="D125" i="5" l="1"/>
  <c r="B125" i="5"/>
  <c r="A126" i="5"/>
  <c r="H63" i="5"/>
  <c r="J63" i="5" s="1"/>
  <c r="E63" i="5"/>
  <c r="F63" i="5" l="1"/>
  <c r="G63" i="5" s="1"/>
  <c r="I63" i="5" s="1"/>
  <c r="C64" i="5" s="1"/>
  <c r="B126" i="5"/>
  <c r="D126" i="5"/>
  <c r="A127" i="5"/>
  <c r="H64" i="5" l="1"/>
  <c r="J64" i="5" s="1"/>
  <c r="E64" i="5"/>
  <c r="D127" i="5"/>
  <c r="B127" i="5"/>
  <c r="A128" i="5"/>
  <c r="B128" i="5" l="1"/>
  <c r="D128" i="5"/>
  <c r="A129" i="5"/>
  <c r="F64" i="5"/>
  <c r="G64" i="5" s="1"/>
  <c r="I64" i="5" s="1"/>
  <c r="C65" i="5" s="1"/>
  <c r="H65" i="5" l="1"/>
  <c r="J65" i="5" s="1"/>
  <c r="E65" i="5"/>
  <c r="D129" i="5"/>
  <c r="B129" i="5"/>
  <c r="A130" i="5"/>
  <c r="B130" i="5" l="1"/>
  <c r="D130" i="5"/>
  <c r="A131" i="5"/>
  <c r="F65" i="5"/>
  <c r="G65" i="5" s="1"/>
  <c r="I65" i="5" s="1"/>
  <c r="C66" i="5" s="1"/>
  <c r="H66" i="5" l="1"/>
  <c r="J66" i="5" s="1"/>
  <c r="E66" i="5"/>
  <c r="D131" i="5"/>
  <c r="B131" i="5"/>
  <c r="A132" i="5"/>
  <c r="D132" i="5" l="1"/>
  <c r="B132" i="5"/>
  <c r="A133" i="5"/>
  <c r="F66" i="5"/>
  <c r="G66" i="5" s="1"/>
  <c r="I66" i="5" s="1"/>
  <c r="C67" i="5" s="1"/>
  <c r="H67" i="5" l="1"/>
  <c r="J67" i="5" s="1"/>
  <c r="E67" i="5"/>
  <c r="D133" i="5"/>
  <c r="B133" i="5"/>
  <c r="A134" i="5"/>
  <c r="D134" i="5" l="1"/>
  <c r="B134" i="5"/>
  <c r="A135" i="5"/>
  <c r="F67" i="5"/>
  <c r="G67" i="5" s="1"/>
  <c r="I67" i="5" s="1"/>
  <c r="C68" i="5" s="1"/>
  <c r="E68" i="5" l="1"/>
  <c r="H68" i="5"/>
  <c r="J68" i="5" s="1"/>
  <c r="D135" i="5"/>
  <c r="B135" i="5"/>
  <c r="A136" i="5"/>
  <c r="D136" i="5" l="1"/>
  <c r="B136" i="5"/>
  <c r="F68" i="5"/>
  <c r="G68" i="5" s="1"/>
  <c r="I68" i="5" s="1"/>
  <c r="C69" i="5" s="1"/>
  <c r="E69" i="5" l="1"/>
  <c r="H69" i="5"/>
  <c r="J69" i="5" s="1"/>
  <c r="F69" i="5" l="1"/>
  <c r="G69" i="5" s="1"/>
  <c r="I69" i="5" s="1"/>
  <c r="C70" i="5" s="1"/>
  <c r="H70" i="5" l="1"/>
  <c r="J70" i="5" s="1"/>
  <c r="E70" i="5"/>
  <c r="F70" i="5" l="1"/>
  <c r="G70" i="5" s="1"/>
  <c r="I70" i="5" s="1"/>
  <c r="C71" i="5" s="1"/>
  <c r="H71" i="5" l="1"/>
  <c r="J71" i="5" s="1"/>
  <c r="E71" i="5"/>
  <c r="F71" i="5" l="1"/>
  <c r="G71" i="5" s="1"/>
  <c r="I71" i="5" s="1"/>
  <c r="C72" i="5" s="1"/>
  <c r="H72" i="5" l="1"/>
  <c r="J72" i="5" s="1"/>
  <c r="E72" i="5"/>
  <c r="F72" i="5" l="1"/>
  <c r="G72" i="5" s="1"/>
  <c r="I72" i="5" s="1"/>
  <c r="C73" i="5" s="1"/>
  <c r="H73" i="5" l="1"/>
  <c r="J73" i="5" s="1"/>
  <c r="E73" i="5"/>
  <c r="F73" i="5" l="1"/>
  <c r="G73" i="5" s="1"/>
  <c r="I73" i="5" s="1"/>
  <c r="C74" i="5" s="1"/>
  <c r="H74" i="5" l="1"/>
  <c r="J74" i="5" s="1"/>
  <c r="E74" i="5"/>
  <c r="F74" i="5" l="1"/>
  <c r="G74" i="5" s="1"/>
  <c r="I74" i="5" s="1"/>
  <c r="C75" i="5" s="1"/>
  <c r="H75" i="5" l="1"/>
  <c r="J75" i="5" s="1"/>
  <c r="E75" i="5"/>
  <c r="F75" i="5" l="1"/>
  <c r="G75" i="5" s="1"/>
  <c r="I75" i="5" s="1"/>
  <c r="C76" i="5" s="1"/>
  <c r="H76" i="5" l="1"/>
  <c r="J76" i="5" s="1"/>
  <c r="E76" i="5"/>
  <c r="F76" i="5" l="1"/>
  <c r="G76" i="5" s="1"/>
  <c r="I76" i="5" s="1"/>
  <c r="C77" i="5" s="1"/>
  <c r="H77" i="5" l="1"/>
  <c r="J77" i="5" s="1"/>
  <c r="E77" i="5"/>
  <c r="F77" i="5" l="1"/>
  <c r="G77" i="5" s="1"/>
  <c r="I77" i="5" s="1"/>
  <c r="C78" i="5" s="1"/>
  <c r="H78" i="5" l="1"/>
  <c r="J78" i="5" s="1"/>
  <c r="E78" i="5"/>
  <c r="F78" i="5" l="1"/>
  <c r="G78" i="5" s="1"/>
  <c r="I78" i="5" s="1"/>
  <c r="C79" i="5" s="1"/>
  <c r="H79" i="5" l="1"/>
  <c r="J79" i="5" s="1"/>
  <c r="E79" i="5"/>
  <c r="F79" i="5" l="1"/>
  <c r="G79" i="5" s="1"/>
  <c r="I79" i="5" s="1"/>
  <c r="C80" i="5" s="1"/>
  <c r="H80" i="5" l="1"/>
  <c r="J80" i="5" s="1"/>
  <c r="E80" i="5"/>
  <c r="F80" i="5" l="1"/>
  <c r="G80" i="5" s="1"/>
  <c r="I80" i="5" s="1"/>
  <c r="C81" i="5" s="1"/>
  <c r="E81" i="5" l="1"/>
  <c r="H81" i="5"/>
  <c r="J81" i="5" s="1"/>
  <c r="F81" i="5" l="1"/>
  <c r="G81" i="5" s="1"/>
  <c r="I81" i="5" s="1"/>
  <c r="C82" i="5" s="1"/>
  <c r="H82" i="5" l="1"/>
  <c r="J82" i="5" s="1"/>
  <c r="E82" i="5"/>
  <c r="F82" i="5" l="1"/>
  <c r="G82" i="5" s="1"/>
  <c r="I82" i="5" s="1"/>
  <c r="C83" i="5" s="1"/>
  <c r="H83" i="5" l="1"/>
  <c r="J83" i="5" s="1"/>
  <c r="E83" i="5"/>
  <c r="F83" i="5" l="1"/>
  <c r="G83" i="5" s="1"/>
  <c r="I83" i="5" s="1"/>
  <c r="C84" i="5" s="1"/>
  <c r="H84" i="5" l="1"/>
  <c r="J84" i="5" s="1"/>
  <c r="E84" i="5"/>
  <c r="F84" i="5" l="1"/>
  <c r="G84" i="5" s="1"/>
  <c r="I84" i="5" s="1"/>
  <c r="C85" i="5" s="1"/>
  <c r="H85" i="5" l="1"/>
  <c r="J85" i="5" s="1"/>
  <c r="E85" i="5"/>
  <c r="F85" i="5" l="1"/>
  <c r="G85" i="5" s="1"/>
  <c r="I85" i="5" s="1"/>
  <c r="C86" i="5" s="1"/>
  <c r="H86" i="5" l="1"/>
  <c r="J86" i="5" s="1"/>
  <c r="E86" i="5"/>
  <c r="F86" i="5" l="1"/>
  <c r="G86" i="5" s="1"/>
  <c r="I86" i="5" s="1"/>
  <c r="C87" i="5" s="1"/>
  <c r="H87" i="5" l="1"/>
  <c r="J87" i="5" s="1"/>
  <c r="E87" i="5"/>
  <c r="F87" i="5" l="1"/>
  <c r="G87" i="5" s="1"/>
  <c r="I87" i="5" s="1"/>
  <c r="C88" i="5" s="1"/>
  <c r="H88" i="5" l="1"/>
  <c r="J88" i="5" s="1"/>
  <c r="E88" i="5"/>
  <c r="F88" i="5" l="1"/>
  <c r="G88" i="5" s="1"/>
  <c r="I88" i="5" s="1"/>
  <c r="C89" i="5" s="1"/>
  <c r="H89" i="5" l="1"/>
  <c r="J89" i="5" s="1"/>
  <c r="E89" i="5"/>
  <c r="F89" i="5" l="1"/>
  <c r="G89" i="5" s="1"/>
  <c r="I89" i="5" s="1"/>
  <c r="C90" i="5" s="1"/>
  <c r="H90" i="5" l="1"/>
  <c r="J90" i="5" s="1"/>
  <c r="E90" i="5"/>
  <c r="F90" i="5" l="1"/>
  <c r="G90" i="5" s="1"/>
  <c r="I90" i="5" s="1"/>
  <c r="C91" i="5" s="1"/>
  <c r="E91" i="5" l="1"/>
  <c r="H91" i="5"/>
  <c r="J91" i="5" s="1"/>
  <c r="F91" i="5" l="1"/>
  <c r="G91" i="5" s="1"/>
  <c r="I91" i="5" s="1"/>
  <c r="C92" i="5" s="1"/>
  <c r="H92" i="5" l="1"/>
  <c r="J92" i="5" s="1"/>
  <c r="E92" i="5"/>
  <c r="F92" i="5" l="1"/>
  <c r="G92" i="5" s="1"/>
  <c r="I92" i="5" s="1"/>
  <c r="C93" i="5" s="1"/>
  <c r="E93" i="5" l="1"/>
  <c r="H93" i="5"/>
  <c r="J93" i="5" s="1"/>
  <c r="F93" i="5" l="1"/>
  <c r="G93" i="5" s="1"/>
  <c r="I93" i="5" s="1"/>
  <c r="C94" i="5" s="1"/>
  <c r="H94" i="5" l="1"/>
  <c r="J94" i="5" s="1"/>
  <c r="E94" i="5"/>
  <c r="F94" i="5" l="1"/>
  <c r="G94" i="5" s="1"/>
  <c r="I94" i="5" s="1"/>
  <c r="C95" i="5" s="1"/>
  <c r="H95" i="5" l="1"/>
  <c r="J95" i="5" s="1"/>
  <c r="E95" i="5"/>
  <c r="F95" i="5" l="1"/>
  <c r="G95" i="5" s="1"/>
  <c r="I95" i="5" s="1"/>
  <c r="C96" i="5" s="1"/>
  <c r="H96" i="5" l="1"/>
  <c r="J96" i="5" s="1"/>
  <c r="E96" i="5"/>
  <c r="F96" i="5" l="1"/>
  <c r="G96" i="5" s="1"/>
  <c r="I96" i="5" s="1"/>
  <c r="C97" i="5" s="1"/>
  <c r="E97" i="5" l="1"/>
  <c r="H97" i="5"/>
  <c r="J97" i="5" s="1"/>
  <c r="F97" i="5" l="1"/>
  <c r="G97" i="5" s="1"/>
  <c r="I97" i="5" s="1"/>
  <c r="C98" i="5" s="1"/>
  <c r="H98" i="5" l="1"/>
  <c r="J98" i="5" s="1"/>
  <c r="E98" i="5"/>
  <c r="F98" i="5" l="1"/>
  <c r="G98" i="5" s="1"/>
  <c r="I98" i="5" s="1"/>
  <c r="C99" i="5" s="1"/>
  <c r="E99" i="5" l="1"/>
  <c r="H99" i="5"/>
  <c r="J99" i="5" s="1"/>
  <c r="F99" i="5" l="1"/>
  <c r="G99" i="5" s="1"/>
  <c r="I99" i="5" s="1"/>
  <c r="C100" i="5" s="1"/>
  <c r="H100" i="5" l="1"/>
  <c r="J100" i="5" s="1"/>
  <c r="E100" i="5"/>
  <c r="F100" i="5" l="1"/>
  <c r="G100" i="5" s="1"/>
  <c r="I100" i="5" s="1"/>
  <c r="C101" i="5" s="1"/>
  <c r="E101" i="5" l="1"/>
  <c r="H101" i="5"/>
  <c r="J101" i="5" s="1"/>
  <c r="F101" i="5" l="1"/>
  <c r="G101" i="5" s="1"/>
  <c r="I101" i="5" s="1"/>
  <c r="C102" i="5" s="1"/>
  <c r="H102" i="5" l="1"/>
  <c r="J102" i="5" s="1"/>
  <c r="E102" i="5"/>
  <c r="F102" i="5" l="1"/>
  <c r="G102" i="5" s="1"/>
  <c r="I102" i="5" s="1"/>
  <c r="C103" i="5" s="1"/>
  <c r="E103" i="5" l="1"/>
  <c r="H103" i="5"/>
  <c r="J103" i="5" s="1"/>
  <c r="F103" i="5" l="1"/>
  <c r="G103" i="5" s="1"/>
  <c r="I103" i="5" s="1"/>
  <c r="C104" i="5" s="1"/>
  <c r="H104" i="5" l="1"/>
  <c r="J104" i="5" s="1"/>
  <c r="E104" i="5"/>
  <c r="F104" i="5" l="1"/>
  <c r="G104" i="5" s="1"/>
  <c r="I104" i="5" s="1"/>
  <c r="C105" i="5" s="1"/>
  <c r="E105" i="5" l="1"/>
  <c r="H105" i="5"/>
  <c r="J105" i="5" s="1"/>
  <c r="F105" i="5" l="1"/>
  <c r="G105" i="5" s="1"/>
  <c r="I105" i="5" s="1"/>
  <c r="C106" i="5" s="1"/>
  <c r="H106" i="5" l="1"/>
  <c r="J106" i="5" s="1"/>
  <c r="E106" i="5"/>
  <c r="F106" i="5" l="1"/>
  <c r="G106" i="5" s="1"/>
  <c r="I106" i="5" s="1"/>
  <c r="C107" i="5" s="1"/>
  <c r="H107" i="5" l="1"/>
  <c r="J107" i="5" s="1"/>
  <c r="E107" i="5"/>
  <c r="F107" i="5" l="1"/>
  <c r="G107" i="5" s="1"/>
  <c r="I107" i="5" s="1"/>
  <c r="C108" i="5" s="1"/>
  <c r="H108" i="5" l="1"/>
  <c r="J108" i="5" s="1"/>
  <c r="E108" i="5"/>
  <c r="F108" i="5" l="1"/>
  <c r="G108" i="5" s="1"/>
  <c r="I108" i="5" s="1"/>
  <c r="C109" i="5" s="1"/>
  <c r="H109" i="5" l="1"/>
  <c r="J109" i="5" s="1"/>
  <c r="E109" i="5"/>
  <c r="F109" i="5" l="1"/>
  <c r="G109" i="5" s="1"/>
  <c r="I109" i="5" s="1"/>
  <c r="C110" i="5" s="1"/>
  <c r="H110" i="5" l="1"/>
  <c r="J110" i="5" s="1"/>
  <c r="E110" i="5"/>
  <c r="F110" i="5" l="1"/>
  <c r="G110" i="5" s="1"/>
  <c r="I110" i="5" s="1"/>
  <c r="C111" i="5" s="1"/>
  <c r="H111" i="5" l="1"/>
  <c r="J111" i="5" s="1"/>
  <c r="E111" i="5"/>
  <c r="F111" i="5" l="1"/>
  <c r="G111" i="5" s="1"/>
  <c r="I111" i="5" s="1"/>
  <c r="C112" i="5" s="1"/>
  <c r="H112" i="5" l="1"/>
  <c r="J112" i="5" s="1"/>
  <c r="E112" i="5"/>
  <c r="F112" i="5" l="1"/>
  <c r="G112" i="5" s="1"/>
  <c r="I112" i="5" s="1"/>
  <c r="C113" i="5" s="1"/>
  <c r="H113" i="5" l="1"/>
  <c r="J113" i="5" s="1"/>
  <c r="E113" i="5"/>
  <c r="F113" i="5" l="1"/>
  <c r="G113" i="5" s="1"/>
  <c r="I113" i="5" s="1"/>
  <c r="C114" i="5" s="1"/>
  <c r="E114" i="5" l="1"/>
  <c r="H114" i="5"/>
  <c r="J114" i="5" s="1"/>
  <c r="F114" i="5" l="1"/>
  <c r="G114" i="5" s="1"/>
  <c r="I114" i="5" s="1"/>
  <c r="C115" i="5" s="1"/>
  <c r="H115" i="5" l="1"/>
  <c r="J115" i="5" s="1"/>
  <c r="E115" i="5"/>
  <c r="F115" i="5" l="1"/>
  <c r="G115" i="5" s="1"/>
  <c r="I115" i="5" s="1"/>
  <c r="C116" i="5" s="1"/>
  <c r="E116" i="5" l="1"/>
  <c r="H116" i="5"/>
  <c r="J116" i="5" s="1"/>
  <c r="F116" i="5" l="1"/>
  <c r="G116" i="5" s="1"/>
  <c r="I116" i="5" s="1"/>
  <c r="C117" i="5" s="1"/>
  <c r="H117" i="5" l="1"/>
  <c r="J117" i="5" s="1"/>
  <c r="E117" i="5"/>
  <c r="F117" i="5" l="1"/>
  <c r="G117" i="5" s="1"/>
  <c r="I117" i="5" s="1"/>
  <c r="C118" i="5" s="1"/>
  <c r="H118" i="5" l="1"/>
  <c r="J118" i="5" s="1"/>
  <c r="E118" i="5"/>
  <c r="F118" i="5" l="1"/>
  <c r="G118" i="5" s="1"/>
  <c r="I118" i="5" s="1"/>
  <c r="C119" i="5" s="1"/>
  <c r="H119" i="5" l="1"/>
  <c r="J119" i="5" s="1"/>
  <c r="E119" i="5"/>
  <c r="F119" i="5" l="1"/>
  <c r="G119" i="5" s="1"/>
  <c r="I119" i="5" s="1"/>
  <c r="C120" i="5" s="1"/>
  <c r="H120" i="5" l="1"/>
  <c r="L136" i="5" s="1"/>
  <c r="E120" i="5"/>
  <c r="F120" i="5" l="1"/>
  <c r="G120" i="5" s="1"/>
  <c r="I120" i="5" s="1"/>
  <c r="C121" i="5" s="1"/>
  <c r="J120" i="5"/>
  <c r="H121" i="5" l="1"/>
  <c r="J121" i="5" s="1"/>
  <c r="E121" i="5"/>
  <c r="F121" i="5" l="1"/>
  <c r="G121" i="5" s="1"/>
  <c r="I121" i="5" l="1"/>
  <c r="C122" i="5" s="1"/>
  <c r="H122" i="5" s="1"/>
  <c r="J122" i="5" s="1"/>
  <c r="E122" i="5" l="1"/>
  <c r="F122" i="5" s="1"/>
  <c r="G122" i="5" s="1"/>
  <c r="I122" i="5" l="1"/>
  <c r="C123" i="5" s="1"/>
  <c r="H123" i="5" s="1"/>
  <c r="J123" i="5" s="1"/>
  <c r="E123" i="5" l="1"/>
  <c r="F123" i="5" s="1"/>
  <c r="G123" i="5" s="1"/>
  <c r="I123" i="5" s="1"/>
  <c r="C124" i="5" s="1"/>
  <c r="H124" i="5" l="1"/>
  <c r="J124" i="5" s="1"/>
  <c r="E124" i="5"/>
  <c r="F124" i="5" l="1"/>
  <c r="G124" i="5" s="1"/>
  <c r="I124" i="5" s="1"/>
  <c r="C125" i="5" s="1"/>
  <c r="H125" i="5" l="1"/>
  <c r="J125" i="5" s="1"/>
  <c r="E125" i="5"/>
  <c r="F125" i="5" l="1"/>
  <c r="G125" i="5" s="1"/>
  <c r="I125" i="5" s="1"/>
  <c r="C126" i="5" s="1"/>
  <c r="H126" i="5" l="1"/>
  <c r="J126" i="5" s="1"/>
  <c r="E126" i="5"/>
  <c r="F126" i="5" l="1"/>
  <c r="G126" i="5" s="1"/>
  <c r="I126" i="5" s="1"/>
  <c r="C127" i="5" s="1"/>
  <c r="H127" i="5" l="1"/>
  <c r="J127" i="5" s="1"/>
  <c r="E127" i="5"/>
  <c r="F127" i="5" l="1"/>
  <c r="G127" i="5" s="1"/>
  <c r="I127" i="5" s="1"/>
  <c r="C128" i="5" s="1"/>
  <c r="H128" i="5" l="1"/>
  <c r="J128" i="5" s="1"/>
  <c r="E128" i="5"/>
  <c r="F128" i="5" l="1"/>
  <c r="G128" i="5" s="1"/>
  <c r="I128" i="5" s="1"/>
  <c r="C129" i="5" s="1"/>
  <c r="H129" i="5" l="1"/>
  <c r="J129" i="5" s="1"/>
  <c r="E129" i="5"/>
  <c r="F129" i="5" l="1"/>
  <c r="G129" i="5" s="1"/>
  <c r="I129" i="5" s="1"/>
  <c r="C130" i="5" s="1"/>
  <c r="H130" i="5" l="1"/>
  <c r="J130" i="5" s="1"/>
  <c r="E130" i="5"/>
  <c r="F130" i="5" l="1"/>
  <c r="G130" i="5" s="1"/>
  <c r="I130" i="5" s="1"/>
  <c r="C131" i="5" s="1"/>
  <c r="E131" i="5" l="1"/>
  <c r="H131" i="5"/>
  <c r="J131" i="5" s="1"/>
  <c r="F131" i="5" l="1"/>
  <c r="G131" i="5" s="1"/>
  <c r="I131" i="5" s="1"/>
  <c r="C132" i="5" s="1"/>
  <c r="H132" i="5" l="1"/>
  <c r="J132" i="5" s="1"/>
  <c r="E132" i="5"/>
  <c r="F132" i="5" l="1"/>
  <c r="G132" i="5" s="1"/>
  <c r="I132" i="5" s="1"/>
  <c r="C133" i="5" s="1"/>
  <c r="E133" i="5" l="1"/>
  <c r="H133" i="5"/>
  <c r="J133" i="5" s="1"/>
  <c r="F133" i="5" l="1"/>
  <c r="G133" i="5" s="1"/>
  <c r="I133" i="5" s="1"/>
  <c r="C134" i="5" s="1"/>
  <c r="H134" i="5" l="1"/>
  <c r="J134" i="5" s="1"/>
  <c r="E134" i="5"/>
  <c r="F134" i="5" l="1"/>
  <c r="G134" i="5" s="1"/>
  <c r="I134" i="5" s="1"/>
  <c r="C135" i="5" s="1"/>
  <c r="H135" i="5" l="1"/>
  <c r="J135" i="5" s="1"/>
  <c r="E135" i="5"/>
  <c r="F135" i="5" l="1"/>
  <c r="G135" i="5" s="1"/>
  <c r="I135" i="5" s="1"/>
  <c r="C136" i="5" s="1"/>
  <c r="H136" i="5" l="1"/>
  <c r="J136" i="5" s="1"/>
  <c r="E136" i="5"/>
  <c r="J9" i="5" l="1"/>
  <c r="J8" i="5"/>
  <c r="F136" i="5"/>
  <c r="G136" i="5" s="1"/>
  <c r="I136" i="5" s="1"/>
  <c r="J7" i="5" s="1"/>
  <c r="M136" i="5" l="1"/>
  <c r="K136" i="5"/>
</calcChain>
</file>

<file path=xl/sharedStrings.xml><?xml version="1.0" encoding="utf-8"?>
<sst xmlns="http://schemas.openxmlformats.org/spreadsheetml/2006/main" count="238" uniqueCount="160">
  <si>
    <t xml:space="preserve"> </t>
  </si>
  <si>
    <t>Nominal Power In (MW DC):</t>
  </si>
  <si>
    <t>KW</t>
  </si>
  <si>
    <t>MW</t>
  </si>
  <si>
    <t>Annual Power Generating Revenues:</t>
  </si>
  <si>
    <t>Principal</t>
  </si>
  <si>
    <t>Interest</t>
  </si>
  <si>
    <t>Year One</t>
  </si>
  <si>
    <t>Payments</t>
  </si>
  <si>
    <t>Hrs/day</t>
  </si>
  <si>
    <t>kWh/Yr</t>
  </si>
  <si>
    <t>Depreciation Rate (Per Annum) %:</t>
  </si>
  <si>
    <t>Annual EBITA:</t>
  </si>
  <si>
    <t>Taxes:</t>
  </si>
  <si>
    <t>Yellow = Inputs</t>
  </si>
  <si>
    <t>State Income Tax:</t>
  </si>
  <si>
    <t>VAT/Sales Tax;</t>
  </si>
  <si>
    <t>FiT/kWh</t>
  </si>
  <si>
    <t>Fit Rate/kWh:</t>
  </si>
  <si>
    <t>Annual Revenue</t>
  </si>
  <si>
    <t>Basic PPA Terms:</t>
  </si>
  <si>
    <t>Loan Amortization Schedule</t>
  </si>
  <si>
    <t>Enter values</t>
  </si>
  <si>
    <t>Loan summary</t>
  </si>
  <si>
    <t>Loan amount</t>
  </si>
  <si>
    <t>Scheduled payment</t>
  </si>
  <si>
    <t>Annual interest rate</t>
  </si>
  <si>
    <t>Scheduled number of payments</t>
  </si>
  <si>
    <t>Loan period in years</t>
  </si>
  <si>
    <t>Actual number of payments</t>
  </si>
  <si>
    <t>Number of payments per year</t>
  </si>
  <si>
    <t>Total early payments</t>
  </si>
  <si>
    <t>Start date of loan</t>
  </si>
  <si>
    <t>Total interest</t>
  </si>
  <si>
    <t>Optional extra payments</t>
  </si>
  <si>
    <t>Lender name:</t>
  </si>
  <si>
    <t>TBD</t>
  </si>
  <si>
    <t>Pmt. No.</t>
  </si>
  <si>
    <t>Payment Date</t>
  </si>
  <si>
    <t>Beginning Balance</t>
  </si>
  <si>
    <t>Scheduled Payment</t>
  </si>
  <si>
    <t>Extra Payment</t>
  </si>
  <si>
    <t>Total Payment</t>
  </si>
  <si>
    <t>Ending Balance</t>
  </si>
  <si>
    <t>Cumulative Interest</t>
  </si>
  <si>
    <t>Year</t>
  </si>
  <si>
    <t>Costs</t>
  </si>
  <si>
    <t>Cumulative</t>
  </si>
  <si>
    <t>Benefits</t>
  </si>
  <si>
    <t>ROI:</t>
  </si>
  <si>
    <t>Annual OPEX</t>
  </si>
  <si>
    <t>A</t>
  </si>
  <si>
    <t>B</t>
  </si>
  <si>
    <t>C</t>
  </si>
  <si>
    <t>D</t>
  </si>
  <si>
    <t>E</t>
  </si>
  <si>
    <t>F</t>
  </si>
  <si>
    <t>G</t>
  </si>
  <si>
    <t>I</t>
  </si>
  <si>
    <t>H</t>
  </si>
  <si>
    <t>J</t>
  </si>
  <si>
    <t>K</t>
  </si>
  <si>
    <t>L</t>
  </si>
  <si>
    <t>M</t>
  </si>
  <si>
    <t>N</t>
  </si>
  <si>
    <t>O</t>
  </si>
  <si>
    <t>P</t>
  </si>
  <si>
    <t>Q</t>
  </si>
  <si>
    <t>S</t>
  </si>
  <si>
    <t>T</t>
  </si>
  <si>
    <t>R</t>
  </si>
  <si>
    <t>U</t>
  </si>
  <si>
    <t>V</t>
  </si>
  <si>
    <t>W</t>
  </si>
  <si>
    <t>X</t>
  </si>
  <si>
    <t>Y</t>
  </si>
  <si>
    <t>Z</t>
  </si>
  <si>
    <t>AA</t>
  </si>
  <si>
    <t>AB</t>
  </si>
  <si>
    <t>Annual Debt Service (P&amp;I Yrs.):</t>
  </si>
  <si>
    <t>Total</t>
  </si>
  <si>
    <t xml:space="preserve">Note:  Requires manual adjustment of Cost and Benefits data based on the </t>
  </si>
  <si>
    <t xml:space="preserve">          amortization rate in years</t>
  </si>
  <si>
    <t>Year 20</t>
  </si>
  <si>
    <t>Years</t>
  </si>
  <si>
    <t>Net Cashflow</t>
  </si>
  <si>
    <t>Project Cost/MW (Nominal):</t>
  </si>
  <si>
    <t>Net Annual Income After Debt Service Is Complete:</t>
  </si>
  <si>
    <t>Total Annual Expense</t>
  </si>
  <si>
    <r>
      <rPr>
        <b/>
        <u/>
        <sz val="10"/>
        <color theme="1"/>
        <rFont val="Arial"/>
        <family val="2"/>
      </rPr>
      <t>How to convert Megawatts to Kilowatts</t>
    </r>
    <r>
      <rPr>
        <b/>
        <sz val="10"/>
        <color theme="1"/>
        <rFont val="Arial"/>
        <family val="2"/>
      </rPr>
      <t xml:space="preserve"> - </t>
    </r>
    <r>
      <rPr>
        <sz val="10"/>
        <color theme="1"/>
        <rFont val="Arial"/>
        <family val="2"/>
      </rPr>
      <t>1MW = 1000kW 1kW = 0.001MW</t>
    </r>
  </si>
  <si>
    <r>
      <rPr>
        <b/>
        <u/>
        <sz val="10"/>
        <color theme="1"/>
        <rFont val="Arial"/>
        <family val="2"/>
      </rPr>
      <t xml:space="preserve">Megawatt </t>
    </r>
    <r>
      <rPr>
        <b/>
        <sz val="10"/>
        <color theme="1"/>
        <rFont val="Arial"/>
        <family val="2"/>
      </rPr>
      <t xml:space="preserve">- </t>
    </r>
    <r>
      <rPr>
        <sz val="10"/>
        <color theme="1"/>
        <rFont val="Arial"/>
        <family val="2"/>
      </rPr>
      <t>A megawatt is a unit for measuring power that is equivalent to one million watts. One megawatt is equivalent to the energy produced by 10 automobile engines. A megawatt hour (Mwh) is equal to 1,000 Kilowatt hours (Kwh). It is equal to 1,000 kilowatts of electricity used continuously for one hour.</t>
    </r>
  </si>
  <si>
    <t xml:space="preserve">Return on Investment (ROI) Template (Variable) </t>
  </si>
  <si>
    <t>Projected Annual OPEX :</t>
  </si>
  <si>
    <t>Conversion Rate:</t>
  </si>
  <si>
    <t>US Dollar Conversion EU to USD</t>
  </si>
  <si>
    <t>Hours (per/day) Annually):</t>
  </si>
  <si>
    <t>Net Income Hours System After OPEX:</t>
  </si>
  <si>
    <t>Bonds:</t>
  </si>
  <si>
    <t>Insurance:</t>
  </si>
  <si>
    <t>Additional Costs:</t>
  </si>
  <si>
    <t>Notes:</t>
  </si>
  <si>
    <r>
      <rPr>
        <b/>
        <u/>
        <sz val="10"/>
        <color theme="1"/>
        <rFont val="Arial"/>
        <family val="2"/>
      </rPr>
      <t>Nominal Power</t>
    </r>
    <r>
      <rPr>
        <sz val="10"/>
        <color theme="1"/>
        <rFont val="Arial"/>
        <family val="2"/>
      </rPr>
      <t xml:space="preserve"> - for the purpose of this Investment Memorandum is defined as the amount of power being consistently generated or distributed equal to the number of hours, every hour projected for operation of the system.  So if the system is designated at 100MW for 15- hours, it is 100MW every hour for 15 hours for the purpose of calculations.</t>
    </r>
  </si>
  <si>
    <t>Time and Materials:</t>
  </si>
  <si>
    <t>Land Leases:</t>
  </si>
  <si>
    <t>Special Equipment Costs:</t>
  </si>
  <si>
    <t>Total OPEX:</t>
  </si>
  <si>
    <r>
      <t>Kilowatt-hour definition</t>
    </r>
    <r>
      <rPr>
        <b/>
        <sz val="10"/>
        <color rgb="FF000000"/>
        <rFont val="Arial"/>
        <family val="2"/>
      </rPr>
      <t xml:space="preserve"> - </t>
    </r>
    <r>
      <rPr>
        <sz val="10"/>
        <color rgb="FF000000"/>
        <rFont val="Arial"/>
        <family val="2"/>
      </rPr>
      <t>Kilowatt-hour is an energy unit (symbol kWh or kW·h) - One kilowatt-hour is defined as the energy consumed by power consumption of 1kW during 1 hour</t>
    </r>
  </si>
  <si>
    <t>Maximum income tax rate 30% for domestic corporation and 40% for a foreign corporation</t>
  </si>
  <si>
    <t>EU</t>
  </si>
  <si>
    <t>Project Overview:</t>
  </si>
  <si>
    <t>Annual Degradation Rate ($):</t>
  </si>
  <si>
    <t>1st year Cost $:</t>
  </si>
  <si>
    <t>Loan period in years:</t>
  </si>
  <si>
    <t>Number of payments per year:</t>
  </si>
  <si>
    <t>Start date of loan:</t>
  </si>
  <si>
    <t>Optional extra payments:</t>
  </si>
  <si>
    <t>The within documents contains all the pertinent data on the project noted below.  It is in a "calculator format" so that the data can be manipulated and updated from time to time as required.  In the event a narrative version of the Investment Memorandum is required, the data from this calculator can be dumped into that format whenever required.</t>
  </si>
  <si>
    <t>Loan Risk Insurance:</t>
  </si>
  <si>
    <t>Annual Rate:</t>
  </si>
  <si>
    <t>PPA/Lease/Project Life in years:</t>
  </si>
  <si>
    <t>Power Purchase Agreement/Lease/Term (Years):</t>
  </si>
  <si>
    <t>Left Intentionally Blank</t>
  </si>
  <si>
    <t>Miscellaneous Notes:</t>
  </si>
  <si>
    <t>Total Additional Cost:</t>
  </si>
  <si>
    <t>INVESTMENT MEMORANDUM  CALCULATIONS ONLY</t>
  </si>
  <si>
    <r>
      <t>Local Corporate Tax Rate %</t>
    </r>
    <r>
      <rPr>
        <b/>
        <sz val="12"/>
        <color rgb="FF333333"/>
        <rFont val="Times New Roman"/>
        <family val="1"/>
      </rPr>
      <t>:</t>
    </r>
  </si>
  <si>
    <t>Total  Income after OPEX &amp; Debt Service:</t>
  </si>
  <si>
    <t>Total years / Total  Income after OPEX &amp; Debt Service:</t>
  </si>
  <si>
    <t>Total Degradation Rate ($):</t>
  </si>
  <si>
    <t>Total Cost $:</t>
  </si>
  <si>
    <t>Annual MW loss:</t>
  </si>
  <si>
    <t>Debt Service Income Subject to Taxes on System:</t>
  </si>
  <si>
    <t>Project Cost/Loan Amount:</t>
  </si>
  <si>
    <t>Total MW loss:</t>
  </si>
  <si>
    <t>Is there an escalation clause?</t>
  </si>
  <si>
    <t>How many days to start work?</t>
  </si>
  <si>
    <t>Are development documents in process?</t>
  </si>
  <si>
    <t>System Financial Performance:</t>
  </si>
  <si>
    <t>Internal Rate of Return (IRR)</t>
  </si>
  <si>
    <t>Return on Investment (ROI)</t>
  </si>
  <si>
    <t>Remaining Annual Income During Debt Service Years:</t>
  </si>
  <si>
    <t xml:space="preserve">conservatively arrived at rather than using a complex formula applied to a declining balance.  For the sake of ease in the </t>
  </si>
  <si>
    <t>calculation process, we have elected to a consistent and thus "larger" number to mitigate our revenue.  The impact as</t>
  </si>
  <si>
    <t>stated is conservative and represents a worst case scenario, but the impact financially is comparatively negligible.</t>
  </si>
  <si>
    <r>
      <rPr>
        <b/>
        <sz val="10"/>
        <color theme="1"/>
        <rFont val="Arial"/>
        <family val="2"/>
      </rPr>
      <t>Calculations on degradation</t>
    </r>
    <r>
      <rPr>
        <sz val="10"/>
        <color theme="1"/>
        <rFont val="Arial"/>
        <family val="2"/>
      </rPr>
      <t xml:space="preserve"> - The calculations used and the numbers utilized to mitigate revenue as a direct result, are</t>
    </r>
  </si>
  <si>
    <t>Project Cost/MW (Nominal) Constructed:</t>
  </si>
  <si>
    <t>Years:</t>
  </si>
  <si>
    <t>IRR:</t>
  </si>
  <si>
    <t>Loan Amortization Schedule:</t>
  </si>
  <si>
    <t>Projected Annual Degradation Rate:</t>
  </si>
  <si>
    <t>OPEX Calculation:</t>
  </si>
  <si>
    <t>Annual Degradation Rate (%):</t>
  </si>
  <si>
    <t>Misalliance Costs:</t>
  </si>
  <si>
    <t>Domestic 30% - Foreign 40%</t>
  </si>
  <si>
    <t>Misc. Alliance Costs:</t>
  </si>
  <si>
    <t>Annual Debt Service (P&amp;I)</t>
  </si>
  <si>
    <t>PROJECT NAME - PNP-1</t>
  </si>
  <si>
    <t>MANILA, PHILIPPINES</t>
  </si>
  <si>
    <t>Yes</t>
  </si>
  <si>
    <t>INVESTMENT MEMORANDUM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</si>
</sst>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5" formatCode="&quot;$&quot;#,##0_);\(&quot;$&quot;#,##0\)"/>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quot;$&quot;#,##0"/>
    <numFmt numFmtId="165" formatCode="&quot;$&quot;#,##0.00"/>
    <numFmt numFmtId="166" formatCode="#,##0.0"/>
    <numFmt numFmtId="167" formatCode="[$$-409]\ #,##0.00"/>
    <numFmt numFmtId="168" formatCode="[$$-409]\ #,##0"/>
    <numFmt numFmtId="169" formatCode="0.00?%_)"/>
    <numFmt numFmtId="170" formatCode="0_)"/>
    <numFmt numFmtId="171" formatCode="&quot;$&quot;#,##0.0000"/>
    <numFmt numFmtId="172" formatCode="_(* #,##0_);_(* \(#,##0\);_(* &quot;-&quot;??_);_(@_)"/>
    <numFmt numFmtId="173" formatCode="0.0000"/>
    <numFmt numFmtId="174" formatCode="&quot;$&quot;#,##0.0_);[Red]\(&quot;$&quot;#,##0.0\)"/>
  </numFmts>
  <fonts count="42">
    <font>
      <sz val="10"/>
      <color theme="1"/>
      <name val="Arial"/>
      <family val="2"/>
    </font>
    <font>
      <sz val="10"/>
      <color theme="1"/>
      <name val="Arial"/>
      <family val="2"/>
    </font>
    <font>
      <b/>
      <sz val="10"/>
      <color theme="1"/>
      <name val="Arial"/>
      <family val="2"/>
    </font>
    <font>
      <b/>
      <u/>
      <sz val="10"/>
      <color theme="1"/>
      <name val="Arial"/>
      <family val="2"/>
    </font>
    <font>
      <sz val="10"/>
      <color rgb="FF333333"/>
      <name val="Arial"/>
      <family val="2"/>
    </font>
    <font>
      <sz val="12"/>
      <name val="Tms Rmn"/>
    </font>
    <font>
      <sz val="10"/>
      <name val="Geneva"/>
    </font>
    <font>
      <sz val="10"/>
      <name val="Arial"/>
      <family val="2"/>
    </font>
    <font>
      <b/>
      <sz val="10"/>
      <name val="Arial"/>
      <family val="2"/>
    </font>
    <font>
      <b/>
      <u/>
      <sz val="10"/>
      <color rgb="FF000000"/>
      <name val="Arial"/>
      <family val="2"/>
    </font>
    <font>
      <sz val="10"/>
      <color rgb="FF000000"/>
      <name val="Arial"/>
      <family val="2"/>
    </font>
    <font>
      <b/>
      <sz val="10"/>
      <color rgb="FF000000"/>
      <name val="Arial"/>
      <family val="2"/>
    </font>
    <font>
      <sz val="10"/>
      <color rgb="FF3F3F76"/>
      <name val="Arial"/>
      <family val="2"/>
    </font>
    <font>
      <sz val="10"/>
      <name val="Calibri"/>
      <family val="1"/>
      <scheme val="minor"/>
    </font>
    <font>
      <b/>
      <sz val="18"/>
      <name val="Arial"/>
      <family val="2"/>
    </font>
    <font>
      <sz val="11"/>
      <color theme="1"/>
      <name val="Agency FB"/>
      <family val="2"/>
    </font>
    <font>
      <sz val="11"/>
      <color rgb="FF3F3F76"/>
      <name val="Agency FB"/>
      <family val="2"/>
    </font>
    <font>
      <b/>
      <sz val="11"/>
      <color rgb="FFFA7D00"/>
      <name val="Agency FB"/>
      <family val="2"/>
    </font>
    <font>
      <sz val="11"/>
      <color theme="1"/>
      <name val="Arial"/>
      <family val="2"/>
    </font>
    <font>
      <sz val="10"/>
      <name val="Tms Rmn"/>
    </font>
    <font>
      <b/>
      <sz val="10"/>
      <color rgb="FFFF0000"/>
      <name val="Arial"/>
      <family val="2"/>
    </font>
    <font>
      <b/>
      <sz val="12"/>
      <color theme="1"/>
      <name val="Arial"/>
      <family val="2"/>
    </font>
    <font>
      <sz val="10"/>
      <color rgb="FF363636"/>
      <name val="Arial"/>
      <family val="2"/>
    </font>
    <font>
      <b/>
      <sz val="10"/>
      <color rgb="FF363636"/>
      <name val="Arial"/>
      <family val="2"/>
    </font>
    <font>
      <sz val="7"/>
      <color rgb="FF363636"/>
      <name val="Times New Roman"/>
      <family val="1"/>
    </font>
    <font>
      <b/>
      <u/>
      <sz val="12"/>
      <color rgb="FF000000"/>
      <name val="Arial"/>
      <family val="2"/>
    </font>
    <font>
      <b/>
      <sz val="10"/>
      <color indexed="9"/>
      <name val="Geneva"/>
    </font>
    <font>
      <b/>
      <sz val="12"/>
      <color theme="1"/>
      <name val="Times New Roman"/>
      <family val="1"/>
    </font>
    <font>
      <b/>
      <sz val="12"/>
      <name val="Times New Roman"/>
      <family val="1"/>
    </font>
    <font>
      <sz val="12"/>
      <color theme="1"/>
      <name val="Times New Roman"/>
      <family val="1"/>
    </font>
    <font>
      <b/>
      <i/>
      <sz val="12"/>
      <color rgb="FFFF0000"/>
      <name val="Times New Roman"/>
      <family val="1"/>
    </font>
    <font>
      <b/>
      <sz val="12"/>
      <color rgb="FF333333"/>
      <name val="Times New Roman"/>
      <family val="1"/>
    </font>
    <font>
      <sz val="12"/>
      <color rgb="FF333333"/>
      <name val="Times New Roman"/>
      <family val="1"/>
    </font>
    <font>
      <sz val="12"/>
      <name val="Times New Roman"/>
      <family val="1"/>
    </font>
    <font>
      <b/>
      <u/>
      <sz val="12"/>
      <color rgb="FF000000"/>
      <name val="Times New Roman"/>
      <family val="1"/>
    </font>
    <font>
      <b/>
      <u/>
      <sz val="12"/>
      <color theme="1"/>
      <name val="Times New Roman"/>
      <family val="1"/>
    </font>
    <font>
      <sz val="12"/>
      <color rgb="FFFF0000"/>
      <name val="Times New Roman"/>
      <family val="1"/>
    </font>
    <font>
      <sz val="12"/>
      <color rgb="FF3F3F76"/>
      <name val="Times New Roman"/>
      <family val="1"/>
    </font>
    <font>
      <sz val="12"/>
      <color rgb="FF000000"/>
      <name val="Times New Roman"/>
      <family val="1"/>
    </font>
    <font>
      <b/>
      <i/>
      <vertAlign val="superscript"/>
      <sz val="12"/>
      <color rgb="FFFF0000"/>
      <name val="Times New Roman"/>
      <family val="1"/>
    </font>
    <font>
      <i/>
      <sz val="12"/>
      <color theme="1"/>
      <name val="Times New Roman"/>
      <family val="1"/>
    </font>
    <font>
      <i/>
      <sz val="12"/>
      <color rgb="FF333333"/>
      <name val="Times New Roman"/>
      <family val="1"/>
    </font>
  </fonts>
  <fills count="17">
    <fill>
      <patternFill patternType="none"/>
    </fill>
    <fill>
      <patternFill patternType="gray125"/>
    </fill>
    <fill>
      <patternFill patternType="solid">
        <fgColor indexed="48"/>
        <bgColor indexed="64"/>
      </patternFill>
    </fill>
    <fill>
      <patternFill patternType="solid">
        <fgColor indexed="8"/>
        <bgColor indexed="8"/>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CC99"/>
      </patternFill>
    </fill>
    <fill>
      <patternFill patternType="solid">
        <fgColor rgb="FFF2F2F2"/>
      </patternFill>
    </fill>
    <fill>
      <patternFill patternType="solid">
        <fgColor indexed="9"/>
      </patternFill>
    </fill>
    <fill>
      <patternFill patternType="solid">
        <fgColor theme="6" tint="0.79998168889431442"/>
        <bgColor theme="6" tint="0.79998168889431442"/>
      </patternFill>
    </fill>
    <fill>
      <patternFill patternType="solid">
        <fgColor theme="3" tint="0.79998168889431442"/>
        <bgColor theme="6" tint="0.79998168889431442"/>
      </patternFill>
    </fill>
    <fill>
      <patternFill patternType="solid">
        <fgColor theme="4" tint="0.39997558519241921"/>
        <bgColor theme="6" tint="0.79998168889431442"/>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FFFF00"/>
        <bgColor rgb="FF000000"/>
      </patternFill>
    </fill>
    <fill>
      <patternFill patternType="solid">
        <fgColor theme="0" tint="-0.14999847407452621"/>
        <bgColor theme="6" tint="0.79998168889431442"/>
      </patternFill>
    </fill>
  </fills>
  <borders count="68">
    <border>
      <left/>
      <right/>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hair">
        <color indexed="16"/>
      </bottom>
      <diagonal/>
    </border>
    <border>
      <left style="medium">
        <color auto="1"/>
      </left>
      <right style="medium">
        <color auto="1"/>
      </right>
      <top style="medium">
        <color auto="1"/>
      </top>
      <bottom style="medium">
        <color auto="1"/>
      </bottom>
      <diagonal/>
    </border>
    <border>
      <left style="thin">
        <color indexed="64"/>
      </left>
      <right style="thin">
        <color indexed="64"/>
      </right>
      <top style="thin">
        <color indexed="64"/>
      </top>
      <bottom style="medium">
        <color indexed="64"/>
      </bottom>
      <diagonal/>
    </border>
    <border>
      <left style="medium">
        <color auto="1"/>
      </left>
      <right/>
      <top style="medium">
        <color auto="1"/>
      </top>
      <bottom style="medium">
        <color auto="1"/>
      </bottom>
      <diagonal/>
    </border>
    <border>
      <left/>
      <right/>
      <top style="medium">
        <color indexed="64"/>
      </top>
      <bottom/>
      <diagonal/>
    </border>
    <border>
      <left style="medium">
        <color indexed="64"/>
      </left>
      <right/>
      <top style="medium">
        <color indexed="64"/>
      </top>
      <bottom style="hair">
        <color indexed="16"/>
      </bottom>
      <diagonal/>
    </border>
    <border>
      <left/>
      <right/>
      <top style="medium">
        <color indexed="64"/>
      </top>
      <bottom style="hair">
        <color indexed="16"/>
      </bottom>
      <diagonal/>
    </border>
    <border>
      <left/>
      <right style="medium">
        <color indexed="64"/>
      </right>
      <top style="medium">
        <color indexed="64"/>
      </top>
      <bottom style="hair">
        <color indexed="16"/>
      </bottom>
      <diagonal/>
    </border>
    <border>
      <left style="thin">
        <color rgb="FF7F7F7F"/>
      </left>
      <right style="medium">
        <color indexed="64"/>
      </right>
      <top style="thin">
        <color rgb="FF7F7F7F"/>
      </top>
      <bottom style="thin">
        <color rgb="FF7F7F7F"/>
      </bottom>
      <diagonal/>
    </border>
    <border>
      <left style="thin">
        <color rgb="FF7F7F7F"/>
      </left>
      <right style="medium">
        <color indexed="64"/>
      </right>
      <top style="thin">
        <color rgb="FF7F7F7F"/>
      </top>
      <bottom style="medium">
        <color indexed="64"/>
      </bottom>
      <diagonal/>
    </border>
    <border>
      <left/>
      <right style="medium">
        <color indexed="64"/>
      </right>
      <top style="medium">
        <color indexed="64"/>
      </top>
      <bottom style="medium">
        <color indexed="64"/>
      </bottom>
      <diagonal/>
    </border>
    <border>
      <left style="medium">
        <color indexed="64"/>
      </left>
      <right/>
      <top/>
      <bottom style="hair">
        <color indexed="16"/>
      </bottom>
      <diagonal/>
    </border>
    <border>
      <left/>
      <right style="medium">
        <color indexed="64"/>
      </right>
      <top/>
      <bottom style="hair">
        <color indexed="16"/>
      </bottom>
      <diagonal/>
    </border>
    <border>
      <left/>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medium">
        <color auto="1"/>
      </right>
      <top/>
      <bottom style="medium">
        <color auto="1"/>
      </bottom>
      <diagonal/>
    </border>
    <border>
      <left style="thin">
        <color indexed="64"/>
      </left>
      <right style="thin">
        <color indexed="64"/>
      </right>
      <top/>
      <bottom style="thin">
        <color indexed="64"/>
      </bottom>
      <diagonal/>
    </border>
    <border>
      <left/>
      <right style="medium">
        <color auto="1"/>
      </right>
      <top style="thin">
        <color indexed="64"/>
      </top>
      <bottom style="medium">
        <color indexed="64"/>
      </bottom>
      <diagonal/>
    </border>
    <border>
      <left style="medium">
        <color auto="1"/>
      </left>
      <right style="thin">
        <color indexed="64"/>
      </right>
      <top style="thin">
        <color indexed="64"/>
      </top>
      <bottom/>
      <diagonal/>
    </border>
    <border>
      <left style="thin">
        <color indexed="64"/>
      </left>
      <right style="medium">
        <color auto="1"/>
      </right>
      <top style="thin">
        <color indexed="64"/>
      </top>
      <bottom/>
      <diagonal/>
    </border>
    <border>
      <left style="medium">
        <color auto="1"/>
      </left>
      <right/>
      <top style="thin">
        <color indexed="64"/>
      </top>
      <bottom style="medium">
        <color auto="1"/>
      </bottom>
      <diagonal/>
    </border>
    <border>
      <left/>
      <right style="thin">
        <color indexed="64"/>
      </right>
      <top/>
      <bottom style="medium">
        <color indexed="64"/>
      </bottom>
      <diagonal/>
    </border>
    <border>
      <left style="medium">
        <color auto="1"/>
      </left>
      <right/>
      <top style="thin">
        <color indexed="64"/>
      </top>
      <bottom style="thin">
        <color indexed="64"/>
      </bottom>
      <diagonal/>
    </border>
    <border>
      <left/>
      <right/>
      <top style="medium">
        <color indexed="64"/>
      </top>
      <bottom style="medium">
        <color indexed="64"/>
      </bottom>
      <diagonal/>
    </border>
    <border>
      <left style="medium">
        <color auto="1"/>
      </left>
      <right style="thin">
        <color indexed="64"/>
      </right>
      <top/>
      <bottom style="thin">
        <color indexed="64"/>
      </bottom>
      <diagonal/>
    </border>
    <border>
      <left style="thin">
        <color indexed="64"/>
      </left>
      <right style="medium">
        <color auto="1"/>
      </right>
      <top/>
      <bottom style="thin">
        <color indexed="64"/>
      </bottom>
      <diagonal/>
    </border>
    <border>
      <left/>
      <right style="medium">
        <color auto="1"/>
      </right>
      <top style="thin">
        <color indexed="64"/>
      </top>
      <bottom/>
      <diagonal/>
    </border>
    <border>
      <left style="medium">
        <color auto="1"/>
      </left>
      <right/>
      <top style="medium">
        <color auto="1"/>
      </top>
      <bottom style="thin">
        <color auto="1"/>
      </bottom>
      <diagonal/>
    </border>
    <border>
      <left style="medium">
        <color auto="1"/>
      </left>
      <right style="medium">
        <color indexed="64"/>
      </right>
      <top style="medium">
        <color auto="1"/>
      </top>
      <bottom style="thin">
        <color auto="1"/>
      </bottom>
      <diagonal/>
    </border>
    <border>
      <left style="medium">
        <color auto="1"/>
      </left>
      <right style="medium">
        <color indexed="64"/>
      </right>
      <top style="thin">
        <color indexed="64"/>
      </top>
      <bottom style="medium">
        <color auto="1"/>
      </bottom>
      <diagonal/>
    </border>
    <border>
      <left style="thin">
        <color rgb="FF7F7F7F"/>
      </left>
      <right style="medium">
        <color indexed="64"/>
      </right>
      <top/>
      <bottom style="thin">
        <color rgb="FF7F7F7F"/>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auto="1"/>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style="thin">
        <color auto="1"/>
      </left>
      <right style="medium">
        <color auto="1"/>
      </right>
      <top/>
      <bottom/>
      <diagonal/>
    </border>
    <border>
      <left/>
      <right style="thin">
        <color indexed="64"/>
      </right>
      <top style="thin">
        <color indexed="64"/>
      </top>
      <bottom style="thin">
        <color indexed="64"/>
      </bottom>
      <diagonal/>
    </border>
    <border>
      <left style="medium">
        <color auto="1"/>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style="thin">
        <color rgb="FF7F7F7F"/>
      </right>
      <top style="thin">
        <color auto="1"/>
      </top>
      <bottom style="thin">
        <color auto="1"/>
      </bottom>
      <diagonal/>
    </border>
    <border>
      <left style="thin">
        <color auto="1"/>
      </left>
      <right style="thin">
        <color rgb="FF7F7F7F"/>
      </right>
      <top style="thin">
        <color auto="1"/>
      </top>
      <bottom style="medium">
        <color auto="1"/>
      </bottom>
      <diagonal/>
    </border>
    <border>
      <left/>
      <right style="thin">
        <color rgb="FF7F7F7F"/>
      </right>
      <top style="thin">
        <color indexed="64"/>
      </top>
      <bottom style="thin">
        <color auto="1"/>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32">
    <xf numFmtId="0" fontId="0" fillId="0" borderId="0"/>
    <xf numFmtId="0" fontId="5" fillId="0" borderId="0"/>
    <xf numFmtId="9" fontId="6" fillId="0" borderId="0" applyFont="0" applyFill="0" applyBorder="0" applyAlignment="0" applyProtection="0"/>
    <xf numFmtId="4" fontId="7" fillId="3" borderId="0"/>
    <xf numFmtId="3" fontId="7" fillId="3" borderId="0"/>
    <xf numFmtId="3" fontId="7" fillId="3" borderId="0"/>
    <xf numFmtId="44" fontId="6" fillId="0" borderId="0" applyFont="0" applyFill="0" applyBorder="0" applyAlignment="0" applyProtection="0"/>
    <xf numFmtId="44" fontId="1" fillId="0" borderId="0" applyFont="0" applyFill="0" applyBorder="0" applyAlignment="0" applyProtection="0"/>
    <xf numFmtId="167" fontId="7" fillId="3" borderId="0"/>
    <xf numFmtId="168" fontId="7" fillId="3" borderId="0"/>
    <xf numFmtId="168" fontId="7" fillId="3" borderId="0"/>
    <xf numFmtId="0" fontId="7" fillId="3" borderId="0"/>
    <xf numFmtId="2" fontId="7" fillId="3"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10" fontId="7" fillId="3" borderId="0"/>
    <xf numFmtId="0" fontId="13" fillId="0" borderId="0"/>
    <xf numFmtId="0" fontId="15" fillId="9" borderId="0" applyNumberFormat="0" applyBorder="0" applyAlignment="0" applyProtection="0"/>
    <xf numFmtId="0" fontId="16" fillId="6" borderId="16" applyNumberFormat="0" applyAlignment="0" applyProtection="0"/>
    <xf numFmtId="0" fontId="17" fillId="7" borderId="16" applyNumberFormat="0" applyAlignment="0" applyProtection="0"/>
    <xf numFmtId="44" fontId="7" fillId="0" borderId="0" applyFont="0" applyFill="0" applyBorder="0" applyAlignment="0" applyProtection="0"/>
    <xf numFmtId="0" fontId="19" fillId="0" borderId="0"/>
    <xf numFmtId="43" fontId="7" fillId="0" borderId="0" applyFont="0" applyFill="0" applyBorder="0" applyAlignment="0" applyProtection="0"/>
    <xf numFmtId="9" fontId="7" fillId="0" borderId="0" applyFont="0" applyFill="0" applyBorder="0" applyAlignment="0" applyProtection="0"/>
  </cellStyleXfs>
  <cellXfs count="384">
    <xf numFmtId="0" fontId="0" fillId="0" borderId="0" xfId="0"/>
    <xf numFmtId="0" fontId="7" fillId="8" borderId="0" xfId="24" applyFont="1" applyFill="1" applyBorder="1" applyAlignment="1">
      <alignment horizontal="left"/>
    </xf>
    <xf numFmtId="0" fontId="7" fillId="0" borderId="0" xfId="24" applyFont="1" applyBorder="1"/>
    <xf numFmtId="0" fontId="7" fillId="8" borderId="17" xfId="24" applyFont="1" applyFill="1" applyBorder="1"/>
    <xf numFmtId="0" fontId="7" fillId="8" borderId="0" xfId="24" applyFont="1" applyFill="1" applyBorder="1"/>
    <xf numFmtId="0" fontId="7" fillId="8" borderId="0" xfId="24" applyFont="1" applyFill="1" applyBorder="1" applyAlignment="1">
      <alignment horizontal="right"/>
    </xf>
    <xf numFmtId="0" fontId="8" fillId="8" borderId="0" xfId="24" applyFont="1" applyFill="1" applyBorder="1" applyAlignment="1">
      <alignment horizontal="right"/>
    </xf>
    <xf numFmtId="0" fontId="18" fillId="9" borderId="0" xfId="25" applyFont="1" applyBorder="1"/>
    <xf numFmtId="0" fontId="7" fillId="0" borderId="0" xfId="24" applyFont="1" applyBorder="1" applyAlignment="1">
      <alignment wrapText="1"/>
    </xf>
    <xf numFmtId="164" fontId="7" fillId="12" borderId="0" xfId="24" applyNumberFormat="1" applyFont="1" applyFill="1" applyBorder="1" applyAlignment="1">
      <alignment wrapText="1"/>
    </xf>
    <xf numFmtId="0" fontId="7" fillId="12" borderId="0" xfId="24" applyFont="1" applyFill="1" applyBorder="1" applyAlignment="1">
      <alignment wrapText="1"/>
    </xf>
    <xf numFmtId="164" fontId="7" fillId="0" borderId="0" xfId="24" applyNumberFormat="1" applyFont="1" applyBorder="1" applyAlignment="1">
      <alignment wrapText="1"/>
    </xf>
    <xf numFmtId="164" fontId="7" fillId="0" borderId="0" xfId="24" applyNumberFormat="1" applyFont="1" applyBorder="1"/>
    <xf numFmtId="0" fontId="7" fillId="0" borderId="0" xfId="24" applyFont="1" applyBorder="1" applyAlignment="1">
      <alignment horizontal="left"/>
    </xf>
    <xf numFmtId="0" fontId="7" fillId="0" borderId="0" xfId="24" applyFont="1" applyBorder="1" applyAlignment="1">
      <alignment horizontal="center"/>
    </xf>
    <xf numFmtId="0" fontId="6" fillId="0" borderId="0" xfId="1" applyFont="1" applyBorder="1" applyAlignment="1" applyProtection="1">
      <alignment horizontal="center"/>
    </xf>
    <xf numFmtId="0" fontId="7" fillId="8" borderId="4" xfId="24" applyFont="1" applyFill="1" applyBorder="1" applyAlignment="1">
      <alignment horizontal="left"/>
    </xf>
    <xf numFmtId="0" fontId="7" fillId="8" borderId="6" xfId="24" applyFont="1" applyFill="1" applyBorder="1" applyAlignment="1">
      <alignment horizontal="left"/>
    </xf>
    <xf numFmtId="0" fontId="7" fillId="8" borderId="8" xfId="24" applyFont="1" applyFill="1" applyBorder="1" applyAlignment="1">
      <alignment horizontal="right"/>
    </xf>
    <xf numFmtId="0" fontId="7" fillId="8" borderId="0" xfId="24" applyFont="1" applyFill="1" applyBorder="1" applyAlignment="1" applyProtection="1">
      <alignment horizontal="left"/>
    </xf>
    <xf numFmtId="14" fontId="7" fillId="0" borderId="1" xfId="24" applyNumberFormat="1" applyFont="1" applyFill="1" applyBorder="1" applyAlignment="1">
      <alignment horizontal="right"/>
    </xf>
    <xf numFmtId="44" fontId="7" fillId="0" borderId="1" xfId="28" applyNumberFormat="1" applyFont="1" applyFill="1" applyBorder="1" applyAlignment="1">
      <alignment horizontal="right"/>
    </xf>
    <xf numFmtId="164" fontId="7" fillId="0" borderId="1" xfId="28" applyNumberFormat="1" applyFont="1" applyFill="1" applyBorder="1" applyAlignment="1">
      <alignment horizontal="right"/>
    </xf>
    <xf numFmtId="164" fontId="7" fillId="0" borderId="1" xfId="28" applyNumberFormat="1" applyFont="1" applyFill="1" applyBorder="1" applyAlignment="1" applyProtection="1">
      <alignment horizontal="right"/>
      <protection locked="0"/>
    </xf>
    <xf numFmtId="0" fontId="14" fillId="8" borderId="2" xfId="24" applyFont="1" applyFill="1" applyBorder="1" applyAlignment="1"/>
    <xf numFmtId="0" fontId="7" fillId="0" borderId="21" xfId="24" applyFont="1" applyBorder="1" applyAlignment="1"/>
    <xf numFmtId="0" fontId="7" fillId="8" borderId="21" xfId="24" applyFont="1" applyFill="1" applyBorder="1" applyAlignment="1">
      <alignment horizontal="left"/>
    </xf>
    <xf numFmtId="0" fontId="7" fillId="8" borderId="3" xfId="24" applyFont="1" applyFill="1" applyBorder="1" applyAlignment="1">
      <alignment horizontal="left"/>
    </xf>
    <xf numFmtId="0" fontId="7" fillId="8" borderId="28" xfId="24" applyFont="1" applyFill="1" applyBorder="1" applyAlignment="1">
      <alignment horizontal="left"/>
    </xf>
    <xf numFmtId="0" fontId="7" fillId="8" borderId="29" xfId="24" applyFont="1" applyFill="1" applyBorder="1"/>
    <xf numFmtId="0" fontId="7" fillId="8" borderId="5" xfId="24" applyFont="1" applyFill="1" applyBorder="1"/>
    <xf numFmtId="0" fontId="7" fillId="8" borderId="5" xfId="24" applyNumberFormat="1" applyFont="1" applyFill="1" applyBorder="1" applyAlignment="1">
      <alignment horizontal="left"/>
    </xf>
    <xf numFmtId="0" fontId="18" fillId="9" borderId="4" xfId="25" applyFont="1" applyBorder="1" applyAlignment="1">
      <alignment horizontal="left"/>
    </xf>
    <xf numFmtId="0" fontId="18" fillId="9" borderId="5" xfId="25" applyFont="1" applyBorder="1"/>
    <xf numFmtId="0" fontId="6" fillId="0" borderId="5" xfId="1" applyFont="1" applyBorder="1" applyAlignment="1" applyProtection="1">
      <alignment horizontal="center"/>
    </xf>
    <xf numFmtId="6" fontId="6" fillId="5" borderId="8" xfId="1" applyNumberFormat="1" applyFont="1" applyFill="1" applyBorder="1" applyAlignment="1" applyProtection="1">
      <alignment horizontal="center"/>
    </xf>
    <xf numFmtId="6" fontId="6" fillId="5" borderId="8" xfId="1" applyNumberFormat="1" applyFont="1" applyFill="1" applyBorder="1" applyProtection="1"/>
    <xf numFmtId="6" fontId="6" fillId="5" borderId="7" xfId="1" applyNumberFormat="1" applyFont="1" applyFill="1" applyBorder="1" applyProtection="1"/>
    <xf numFmtId="0" fontId="18" fillId="11" borderId="1" xfId="25" applyFont="1" applyFill="1" applyBorder="1" applyAlignment="1" applyProtection="1">
      <alignment horizontal="left" wrapText="1" indent="2"/>
    </xf>
    <xf numFmtId="0" fontId="2" fillId="11" borderId="13" xfId="25" applyFont="1" applyFill="1" applyBorder="1" applyAlignment="1" applyProtection="1">
      <alignment horizontal="center" vertical="center" wrapText="1"/>
    </xf>
    <xf numFmtId="0" fontId="2" fillId="11" borderId="14" xfId="25" applyFont="1" applyFill="1" applyBorder="1" applyAlignment="1" applyProtection="1">
      <alignment horizontal="center" vertical="center" wrapText="1"/>
    </xf>
    <xf numFmtId="0" fontId="2" fillId="11" borderId="15" xfId="25" applyFont="1" applyFill="1" applyBorder="1" applyAlignment="1" applyProtection="1">
      <alignment horizontal="center" vertical="center" wrapText="1"/>
    </xf>
    <xf numFmtId="0" fontId="18" fillId="11" borderId="9" xfId="25" applyFont="1" applyFill="1" applyBorder="1" applyAlignment="1">
      <alignment horizontal="left"/>
    </xf>
    <xf numFmtId="0" fontId="18" fillId="11" borderId="10" xfId="25" applyFont="1" applyFill="1" applyBorder="1" applyAlignment="1" applyProtection="1">
      <alignment horizontal="left" wrapText="1" indent="3"/>
    </xf>
    <xf numFmtId="164" fontId="7" fillId="5" borderId="7" xfId="24" applyNumberFormat="1" applyFont="1" applyFill="1" applyBorder="1"/>
    <xf numFmtId="0" fontId="8" fillId="0" borderId="0" xfId="20" applyFont="1"/>
    <xf numFmtId="0" fontId="7" fillId="0" borderId="0" xfId="20"/>
    <xf numFmtId="0" fontId="7" fillId="0" borderId="0" xfId="20" applyBorder="1"/>
    <xf numFmtId="6" fontId="7" fillId="0" borderId="30" xfId="20" applyNumberFormat="1" applyBorder="1"/>
    <xf numFmtId="14" fontId="7" fillId="13" borderId="1" xfId="24" applyNumberFormat="1" applyFont="1" applyFill="1" applyBorder="1" applyAlignment="1">
      <alignment horizontal="right"/>
    </xf>
    <xf numFmtId="44" fontId="7" fillId="13" borderId="1" xfId="28" applyNumberFormat="1" applyFont="1" applyFill="1" applyBorder="1" applyAlignment="1">
      <alignment horizontal="right"/>
    </xf>
    <xf numFmtId="164" fontId="7" fillId="13" borderId="1" xfId="28" applyNumberFormat="1" applyFont="1" applyFill="1" applyBorder="1" applyAlignment="1">
      <alignment horizontal="right"/>
    </xf>
    <xf numFmtId="164" fontId="7" fillId="13" borderId="1" xfId="28" applyNumberFormat="1" applyFont="1" applyFill="1" applyBorder="1" applyAlignment="1" applyProtection="1">
      <alignment horizontal="right"/>
      <protection locked="0"/>
    </xf>
    <xf numFmtId="0" fontId="7" fillId="0" borderId="1" xfId="24" applyFont="1" applyFill="1" applyBorder="1" applyAlignment="1">
      <alignment horizontal="center" vertical="center"/>
    </xf>
    <xf numFmtId="0" fontId="8" fillId="0" borderId="2" xfId="20" applyFont="1" applyBorder="1" applyAlignment="1">
      <alignment horizontal="center"/>
    </xf>
    <xf numFmtId="0" fontId="8" fillId="0" borderId="21" xfId="20" applyFont="1" applyBorder="1" applyAlignment="1">
      <alignment horizontal="center"/>
    </xf>
    <xf numFmtId="0" fontId="8" fillId="0" borderId="3" xfId="20" applyFont="1" applyBorder="1" applyAlignment="1">
      <alignment horizontal="center"/>
    </xf>
    <xf numFmtId="0" fontId="8" fillId="0" borderId="6" xfId="20" applyFont="1" applyBorder="1" applyAlignment="1">
      <alignment horizontal="center"/>
    </xf>
    <xf numFmtId="0" fontId="8" fillId="0" borderId="8" xfId="20" applyFont="1" applyBorder="1" applyAlignment="1">
      <alignment horizontal="center"/>
    </xf>
    <xf numFmtId="0" fontId="8" fillId="0" borderId="7" xfId="20" applyFont="1" applyBorder="1" applyAlignment="1">
      <alignment horizontal="center"/>
    </xf>
    <xf numFmtId="172" fontId="0" fillId="0" borderId="1" xfId="30" applyNumberFormat="1" applyFont="1" applyBorder="1" applyAlignment="1">
      <alignment horizontal="center"/>
    </xf>
    <xf numFmtId="172" fontId="0" fillId="0" borderId="1" xfId="30" applyNumberFormat="1" applyFont="1" applyFill="1" applyBorder="1"/>
    <xf numFmtId="0" fontId="8" fillId="0" borderId="31" xfId="20" applyFont="1" applyBorder="1" applyAlignment="1">
      <alignment horizontal="right"/>
    </xf>
    <xf numFmtId="10" fontId="2" fillId="0" borderId="32" xfId="31" applyNumberFormat="1" applyFont="1" applyFill="1" applyBorder="1"/>
    <xf numFmtId="0" fontId="7" fillId="0" borderId="13" xfId="20" applyBorder="1" applyAlignment="1">
      <alignment horizontal="center"/>
    </xf>
    <xf numFmtId="172" fontId="0" fillId="0" borderId="14" xfId="30" applyNumberFormat="1" applyFont="1" applyBorder="1" applyAlignment="1">
      <alignment horizontal="center"/>
    </xf>
    <xf numFmtId="172" fontId="0" fillId="0" borderId="14" xfId="30" applyNumberFormat="1" applyFont="1" applyFill="1" applyBorder="1"/>
    <xf numFmtId="172" fontId="0" fillId="0" borderId="15" xfId="30" applyNumberFormat="1" applyFont="1" applyFill="1" applyBorder="1"/>
    <xf numFmtId="0" fontId="7" fillId="0" borderId="9" xfId="20" applyBorder="1" applyAlignment="1">
      <alignment horizontal="center"/>
    </xf>
    <xf numFmtId="172" fontId="0" fillId="0" borderId="10" xfId="30" applyNumberFormat="1" applyFont="1" applyFill="1" applyBorder="1"/>
    <xf numFmtId="0" fontId="7" fillId="0" borderId="6" xfId="20" applyBorder="1"/>
    <xf numFmtId="172" fontId="8" fillId="0" borderId="19" xfId="20" applyNumberFormat="1" applyFont="1" applyFill="1" applyBorder="1"/>
    <xf numFmtId="172" fontId="0" fillId="0" borderId="1" xfId="30" applyNumberFormat="1" applyFont="1" applyBorder="1" applyAlignment="1"/>
    <xf numFmtId="0" fontId="7" fillId="0" borderId="8" xfId="20" applyBorder="1"/>
    <xf numFmtId="0" fontId="7" fillId="0" borderId="7" xfId="20" applyBorder="1"/>
    <xf numFmtId="0" fontId="8" fillId="0" borderId="6" xfId="20" applyFont="1" applyBorder="1" applyAlignment="1">
      <alignment horizontal="right"/>
    </xf>
    <xf numFmtId="0" fontId="20" fillId="0" borderId="2" xfId="20" applyFont="1" applyBorder="1"/>
    <xf numFmtId="0" fontId="7" fillId="0" borderId="21" xfId="20" applyBorder="1"/>
    <xf numFmtId="0" fontId="7" fillId="0" borderId="3" xfId="20" applyBorder="1"/>
    <xf numFmtId="0" fontId="20" fillId="0" borderId="4" xfId="20" applyFont="1" applyBorder="1"/>
    <xf numFmtId="0" fontId="7" fillId="0" borderId="5" xfId="20" applyBorder="1"/>
    <xf numFmtId="0" fontId="7" fillId="0" borderId="4" xfId="20" applyBorder="1"/>
    <xf numFmtId="0" fontId="7" fillId="0" borderId="0" xfId="20" applyBorder="1" applyAlignment="1">
      <alignment horizontal="right"/>
    </xf>
    <xf numFmtId="42" fontId="7" fillId="0" borderId="0" xfId="20" applyNumberFormat="1" applyBorder="1"/>
    <xf numFmtId="42" fontId="7" fillId="0" borderId="8" xfId="20" applyNumberFormat="1" applyBorder="1"/>
    <xf numFmtId="38" fontId="7" fillId="0" borderId="30" xfId="20" applyNumberFormat="1" applyBorder="1"/>
    <xf numFmtId="6" fontId="12" fillId="0" borderId="25" xfId="26" applyNumberFormat="1" applyFont="1" applyFill="1" applyBorder="1" applyAlignment="1" applyProtection="1">
      <alignment horizontal="right"/>
      <protection locked="0"/>
    </xf>
    <xf numFmtId="42" fontId="7" fillId="0" borderId="25" xfId="27" applyNumberFormat="1" applyFont="1" applyFill="1" applyBorder="1" applyAlignment="1">
      <alignment horizontal="right"/>
    </xf>
    <xf numFmtId="170" fontId="7" fillId="0" borderId="25" xfId="27" applyNumberFormat="1" applyFont="1" applyFill="1" applyBorder="1" applyAlignment="1">
      <alignment horizontal="right"/>
    </xf>
    <xf numFmtId="44" fontId="7" fillId="0" borderId="25" xfId="27" applyNumberFormat="1" applyFont="1" applyFill="1" applyBorder="1" applyAlignment="1">
      <alignment horizontal="right"/>
    </xf>
    <xf numFmtId="42" fontId="7" fillId="0" borderId="26" xfId="27" applyNumberFormat="1" applyFont="1" applyFill="1" applyBorder="1" applyAlignment="1">
      <alignment horizontal="right"/>
    </xf>
    <xf numFmtId="0" fontId="0" fillId="0" borderId="0" xfId="0" applyAlignment="1">
      <alignment horizontal="center"/>
    </xf>
    <xf numFmtId="0" fontId="8" fillId="0" borderId="33" xfId="29" applyFont="1" applyBorder="1" applyAlignment="1" applyProtection="1">
      <alignment horizontal="center"/>
    </xf>
    <xf numFmtId="0" fontId="0" fillId="0" borderId="0" xfId="0" applyBorder="1"/>
    <xf numFmtId="0" fontId="8" fillId="0" borderId="0" xfId="29" applyFont="1" applyBorder="1" applyAlignment="1" applyProtection="1">
      <alignment horizontal="center"/>
    </xf>
    <xf numFmtId="6" fontId="0" fillId="0" borderId="0" xfId="0" applyNumberFormat="1" applyBorder="1"/>
    <xf numFmtId="0" fontId="0" fillId="0" borderId="0" xfId="0" applyAlignment="1">
      <alignment horizontal="center" vertical="center"/>
    </xf>
    <xf numFmtId="0" fontId="22" fillId="0" borderId="0" xfId="0" applyFont="1" applyAlignment="1">
      <alignment vertical="center"/>
    </xf>
    <xf numFmtId="0" fontId="11" fillId="0" borderId="0" xfId="0" applyFont="1" applyAlignment="1">
      <alignment vertical="center"/>
    </xf>
    <xf numFmtId="0" fontId="0" fillId="0" borderId="0" xfId="0" applyAlignment="1">
      <alignment horizontal="left" vertical="center" indent="1"/>
    </xf>
    <xf numFmtId="0" fontId="23" fillId="0" borderId="0" xfId="0" applyFont="1" applyAlignment="1">
      <alignment horizontal="left" vertical="center" indent="1"/>
    </xf>
    <xf numFmtId="0" fontId="24" fillId="0" borderId="0" xfId="0" applyFont="1" applyAlignment="1">
      <alignment horizontal="left" vertical="center" indent="8"/>
    </xf>
    <xf numFmtId="0" fontId="23" fillId="0" borderId="0" xfId="0" applyFont="1" applyAlignment="1">
      <alignment vertical="center" wrapText="1"/>
    </xf>
    <xf numFmtId="0" fontId="4" fillId="0" borderId="0" xfId="0" applyFont="1" applyAlignment="1">
      <alignment vertical="center" wrapText="1"/>
    </xf>
    <xf numFmtId="6" fontId="22" fillId="0" borderId="0" xfId="0" applyNumberFormat="1" applyFont="1" applyAlignment="1">
      <alignment vertical="center" wrapText="1"/>
    </xf>
    <xf numFmtId="0" fontId="22" fillId="0" borderId="0" xfId="0" applyFont="1" applyAlignment="1">
      <alignment vertical="center" wrapText="1"/>
    </xf>
    <xf numFmtId="0" fontId="23" fillId="0" borderId="0" xfId="0" applyFont="1" applyAlignment="1">
      <alignment horizontal="center" vertical="center" wrapText="1"/>
    </xf>
    <xf numFmtId="9" fontId="22" fillId="0" borderId="0" xfId="0" applyNumberFormat="1" applyFont="1" applyAlignment="1">
      <alignment vertical="center" wrapText="1"/>
    </xf>
    <xf numFmtId="10" fontId="22" fillId="0" borderId="0" xfId="0" applyNumberFormat="1" applyFont="1" applyAlignment="1">
      <alignment horizontal="center" vertical="center" wrapText="1"/>
    </xf>
    <xf numFmtId="0" fontId="4" fillId="0" borderId="0" xfId="0" applyFont="1" applyAlignment="1">
      <alignment vertical="center"/>
    </xf>
    <xf numFmtId="0" fontId="0" fillId="0" borderId="0" xfId="0" applyBorder="1" applyAlignment="1">
      <alignment horizontal="center" vertical="center"/>
    </xf>
    <xf numFmtId="0" fontId="25" fillId="0" borderId="0" xfId="0" applyFont="1" applyAlignment="1">
      <alignment vertical="center"/>
    </xf>
    <xf numFmtId="6" fontId="0" fillId="0" borderId="1" xfId="0" applyNumberFormat="1" applyFill="1" applyBorder="1" applyAlignment="1">
      <alignment horizontal="left"/>
    </xf>
    <xf numFmtId="0" fontId="22" fillId="0" borderId="0" xfId="0" applyFont="1" applyAlignment="1">
      <alignment vertical="top" wrapText="1"/>
    </xf>
    <xf numFmtId="0" fontId="24" fillId="0" borderId="0" xfId="0" applyFont="1" applyAlignment="1">
      <alignment vertical="top" wrapText="1"/>
    </xf>
    <xf numFmtId="0" fontId="0" fillId="0" borderId="0" xfId="0" applyAlignment="1">
      <alignment vertical="top"/>
    </xf>
    <xf numFmtId="0" fontId="8" fillId="0" borderId="8" xfId="20" applyFont="1" applyBorder="1" applyAlignment="1">
      <alignment horizontal="right"/>
    </xf>
    <xf numFmtId="0" fontId="0" fillId="0" borderId="0" xfId="0" applyFont="1" applyBorder="1" applyAlignment="1"/>
    <xf numFmtId="0" fontId="9" fillId="0" borderId="0" xfId="0" applyFont="1" applyBorder="1" applyAlignment="1">
      <alignment horizontal="left" vertical="top" wrapText="1"/>
    </xf>
    <xf numFmtId="172" fontId="0" fillId="0" borderId="35" xfId="30" applyNumberFormat="1" applyFont="1" applyBorder="1" applyAlignment="1"/>
    <xf numFmtId="10" fontId="7" fillId="0" borderId="0" xfId="20" applyNumberFormat="1"/>
    <xf numFmtId="0" fontId="8" fillId="0" borderId="0" xfId="29" applyNumberFormat="1" applyFont="1" applyAlignment="1" applyProtection="1">
      <alignment horizontal="center" vertical="top"/>
    </xf>
    <xf numFmtId="0" fontId="8" fillId="0" borderId="0" xfId="29" applyNumberFormat="1" applyFont="1" applyAlignment="1" applyProtection="1">
      <alignment horizontal="center"/>
    </xf>
    <xf numFmtId="0" fontId="8" fillId="0" borderId="0" xfId="29" applyNumberFormat="1" applyFont="1" applyAlignment="1" applyProtection="1">
      <alignment horizontal="center" vertical="center"/>
    </xf>
    <xf numFmtId="0" fontId="0" fillId="0" borderId="0" xfId="0" applyNumberFormat="1"/>
    <xf numFmtId="0" fontId="0" fillId="0" borderId="0" xfId="0" applyNumberFormat="1" applyAlignment="1">
      <alignment horizontal="center"/>
    </xf>
    <xf numFmtId="0" fontId="21" fillId="0" borderId="0" xfId="0" applyNumberFormat="1" applyFont="1"/>
    <xf numFmtId="0" fontId="3" fillId="0" borderId="0" xfId="0" applyNumberFormat="1" applyFont="1"/>
    <xf numFmtId="0" fontId="0" fillId="0" borderId="0" xfId="0" applyNumberFormat="1" applyFont="1"/>
    <xf numFmtId="0" fontId="0" fillId="0" borderId="0" xfId="0" applyNumberFormat="1" applyFont="1" applyFill="1" applyBorder="1"/>
    <xf numFmtId="0" fontId="0" fillId="15" borderId="1" xfId="0" applyNumberFormat="1" applyFont="1" applyFill="1" applyBorder="1" applyAlignment="1">
      <alignment horizontal="center" wrapText="1"/>
    </xf>
    <xf numFmtId="0" fontId="0" fillId="0" borderId="0" xfId="0" applyFont="1" applyBorder="1" applyAlignment="1">
      <alignment horizontal="left" vertical="top" wrapText="1"/>
    </xf>
    <xf numFmtId="0" fontId="0" fillId="0" borderId="0" xfId="0" applyNumberFormat="1" applyFill="1" applyBorder="1"/>
    <xf numFmtId="164" fontId="0" fillId="0" borderId="0" xfId="0" applyNumberFormat="1"/>
    <xf numFmtId="44" fontId="12" fillId="0" borderId="26" xfId="26" applyNumberFormat="1" applyFont="1" applyFill="1" applyBorder="1" applyAlignment="1" applyProtection="1">
      <alignment horizontal="right"/>
      <protection locked="0"/>
    </xf>
    <xf numFmtId="169" fontId="12" fillId="0" borderId="25" xfId="26" applyNumberFormat="1" applyFont="1" applyFill="1" applyBorder="1" applyAlignment="1" applyProtection="1">
      <alignment horizontal="right"/>
      <protection locked="0"/>
    </xf>
    <xf numFmtId="170" fontId="12" fillId="0" borderId="25" xfId="26" applyNumberFormat="1" applyFont="1" applyFill="1" applyBorder="1" applyAlignment="1" applyProtection="1">
      <alignment horizontal="right"/>
      <protection locked="0"/>
    </xf>
    <xf numFmtId="14" fontId="12" fillId="0" borderId="25" xfId="26" applyNumberFormat="1" applyFont="1" applyFill="1" applyBorder="1" applyAlignment="1" applyProtection="1">
      <alignment horizontal="right"/>
      <protection locked="0"/>
    </xf>
    <xf numFmtId="0" fontId="28" fillId="0" borderId="0" xfId="29" applyFont="1" applyAlignment="1" applyProtection="1">
      <alignment horizontal="center" vertical="top"/>
    </xf>
    <xf numFmtId="0" fontId="28" fillId="0" borderId="0" xfId="29" applyFont="1" applyAlignment="1" applyProtection="1">
      <alignment horizontal="center"/>
    </xf>
    <xf numFmtId="0" fontId="29" fillId="0" borderId="0" xfId="0" applyFont="1" applyAlignment="1">
      <alignment horizontal="center" vertical="top"/>
    </xf>
    <xf numFmtId="0" fontId="29" fillId="0" borderId="0" xfId="0" applyFont="1"/>
    <xf numFmtId="0" fontId="29" fillId="0" borderId="4" xfId="0" applyFont="1" applyBorder="1"/>
    <xf numFmtId="0" fontId="29" fillId="0" borderId="0" xfId="0" applyFont="1" applyBorder="1"/>
    <xf numFmtId="0" fontId="29" fillId="0" borderId="5" xfId="0" applyFont="1" applyBorder="1"/>
    <xf numFmtId="164" fontId="29" fillId="0" borderId="0" xfId="0" applyNumberFormat="1" applyFont="1" applyBorder="1"/>
    <xf numFmtId="3" fontId="29" fillId="0" borderId="0" xfId="0" applyNumberFormat="1" applyFont="1" applyBorder="1"/>
    <xf numFmtId="0" fontId="27" fillId="0" borderId="8" xfId="0" applyFont="1" applyBorder="1" applyAlignment="1">
      <alignment horizontal="center"/>
    </xf>
    <xf numFmtId="0" fontId="27" fillId="0" borderId="0" xfId="0" applyFont="1" applyFill="1" applyBorder="1"/>
    <xf numFmtId="0" fontId="27" fillId="4" borderId="46" xfId="0" applyFont="1" applyFill="1" applyBorder="1" applyAlignment="1">
      <alignment horizontal="right" vertical="center" wrapText="1"/>
    </xf>
    <xf numFmtId="0" fontId="27" fillId="4" borderId="15" xfId="0" applyFont="1" applyFill="1" applyBorder="1" applyAlignment="1">
      <alignment vertical="center" wrapText="1"/>
    </xf>
    <xf numFmtId="0" fontId="29" fillId="0" borderId="21" xfId="0" applyFont="1" applyBorder="1"/>
    <xf numFmtId="0" fontId="29" fillId="0" borderId="3" xfId="0" applyFont="1" applyBorder="1"/>
    <xf numFmtId="0" fontId="29" fillId="0" borderId="43" xfId="0" applyFont="1" applyBorder="1" applyAlignment="1">
      <alignment horizontal="right" vertical="center" wrapText="1"/>
    </xf>
    <xf numFmtId="5" fontId="29" fillId="0" borderId="44" xfId="0" applyNumberFormat="1" applyFont="1" applyFill="1" applyBorder="1" applyAlignment="1">
      <alignment horizontal="center" vertical="center" wrapText="1"/>
    </xf>
    <xf numFmtId="0" fontId="29" fillId="0" borderId="9" xfId="0" applyFont="1" applyBorder="1" applyAlignment="1">
      <alignment horizontal="right" vertical="center" wrapText="1"/>
    </xf>
    <xf numFmtId="166" fontId="29" fillId="0" borderId="10" xfId="0" applyNumberFormat="1" applyFont="1" applyFill="1" applyBorder="1" applyAlignment="1">
      <alignment horizontal="center" vertical="center" wrapText="1"/>
    </xf>
    <xf numFmtId="0" fontId="27" fillId="4" borderId="13" xfId="0" applyFont="1" applyFill="1" applyBorder="1" applyAlignment="1">
      <alignment horizontal="center" wrapText="1"/>
    </xf>
    <xf numFmtId="0" fontId="27" fillId="4" borderId="14" xfId="0" applyFont="1" applyFill="1" applyBorder="1" applyAlignment="1">
      <alignment horizontal="center" wrapText="1"/>
    </xf>
    <xf numFmtId="0" fontId="27" fillId="4" borderId="15" xfId="0" applyFont="1" applyFill="1" applyBorder="1" applyAlignment="1">
      <alignment horizontal="center" wrapText="1"/>
    </xf>
    <xf numFmtId="0" fontId="27" fillId="4" borderId="47" xfId="0" applyFont="1" applyFill="1" applyBorder="1" applyAlignment="1">
      <alignment horizontal="center" wrapText="1"/>
    </xf>
    <xf numFmtId="0" fontId="29" fillId="0" borderId="11" xfId="0" applyFont="1" applyBorder="1" applyAlignment="1">
      <alignment horizontal="right" vertical="center" wrapText="1"/>
    </xf>
    <xf numFmtId="166" fontId="29" fillId="14" borderId="19" xfId="0" applyNumberFormat="1" applyFont="1" applyFill="1" applyBorder="1" applyAlignment="1">
      <alignment horizontal="center" vertical="center"/>
    </xf>
    <xf numFmtId="3" fontId="29" fillId="0" borderId="19" xfId="0" applyNumberFormat="1" applyFont="1" applyFill="1" applyBorder="1" applyAlignment="1">
      <alignment horizontal="center" vertical="center"/>
    </xf>
    <xf numFmtId="3" fontId="29" fillId="0" borderId="12" xfId="0" applyNumberFormat="1" applyFont="1" applyFill="1" applyBorder="1" applyAlignment="1">
      <alignment horizontal="center" vertical="center"/>
    </xf>
    <xf numFmtId="164" fontId="29" fillId="0" borderId="48" xfId="0" applyNumberFormat="1" applyFont="1" applyFill="1" applyBorder="1" applyAlignment="1">
      <alignment horizontal="center" vertical="center"/>
    </xf>
    <xf numFmtId="0" fontId="29" fillId="0" borderId="0" xfId="0" applyFont="1" applyBorder="1" applyAlignment="1">
      <alignment horizontal="right" vertical="center" wrapText="1"/>
    </xf>
    <xf numFmtId="164" fontId="29" fillId="0" borderId="0" xfId="0" applyNumberFormat="1" applyFont="1" applyFill="1" applyBorder="1" applyAlignment="1">
      <alignment horizontal="left" vertical="center" wrapText="1"/>
    </xf>
    <xf numFmtId="0" fontId="31" fillId="4" borderId="13" xfId="0" applyFont="1" applyFill="1" applyBorder="1" applyAlignment="1">
      <alignment horizontal="right" vertical="center" wrapText="1"/>
    </xf>
    <xf numFmtId="165" fontId="29" fillId="4" borderId="15" xfId="0" applyNumberFormat="1" applyFont="1" applyFill="1" applyBorder="1" applyAlignment="1">
      <alignment horizontal="left" vertical="center" wrapText="1"/>
    </xf>
    <xf numFmtId="166" fontId="29" fillId="0" borderId="0" xfId="0" applyNumberFormat="1" applyFont="1" applyFill="1" applyBorder="1" applyAlignment="1">
      <alignment horizontal="center"/>
    </xf>
    <xf numFmtId="0" fontId="29" fillId="0" borderId="9" xfId="0" applyFont="1" applyBorder="1" applyAlignment="1">
      <alignment horizontal="right" vertical="top" wrapText="1"/>
    </xf>
    <xf numFmtId="164" fontId="29" fillId="0" borderId="10" xfId="0" applyNumberFormat="1" applyFont="1" applyBorder="1" applyAlignment="1">
      <alignment horizontal="center" vertical="center" wrapText="1"/>
    </xf>
    <xf numFmtId="0" fontId="29" fillId="0" borderId="55" xfId="0" applyFont="1" applyFill="1" applyBorder="1" applyAlignment="1">
      <alignment horizontal="right" vertical="center"/>
    </xf>
    <xf numFmtId="10" fontId="29" fillId="0" borderId="10" xfId="0" applyNumberFormat="1" applyFont="1" applyBorder="1" applyAlignment="1">
      <alignment horizontal="center" vertical="center" wrapText="1"/>
    </xf>
    <xf numFmtId="164" fontId="29" fillId="0" borderId="56" xfId="0" applyNumberFormat="1" applyFont="1" applyBorder="1" applyAlignment="1">
      <alignment horizontal="center" vertical="center" wrapText="1"/>
    </xf>
    <xf numFmtId="164" fontId="29" fillId="0" borderId="12" xfId="0" applyNumberFormat="1" applyFont="1" applyBorder="1" applyAlignment="1">
      <alignment horizontal="center" vertical="center" wrapText="1"/>
    </xf>
    <xf numFmtId="0" fontId="29" fillId="0" borderId="0" xfId="0" applyFont="1" applyBorder="1" applyAlignment="1">
      <alignment horizontal="right" vertical="top" wrapText="1"/>
    </xf>
    <xf numFmtId="164" fontId="29" fillId="0" borderId="0" xfId="0" applyNumberFormat="1" applyFont="1" applyBorder="1" applyAlignment="1">
      <alignment horizontal="center" vertical="center" wrapText="1"/>
    </xf>
    <xf numFmtId="0" fontId="29" fillId="4" borderId="15" xfId="0" applyFont="1" applyFill="1" applyBorder="1" applyAlignment="1">
      <alignment horizontal="center" vertical="center" wrapText="1"/>
    </xf>
    <xf numFmtId="0" fontId="27" fillId="4" borderId="42" xfId="0" applyFont="1" applyFill="1" applyBorder="1" applyAlignment="1">
      <alignment vertical="center"/>
    </xf>
    <xf numFmtId="0" fontId="29" fillId="4" borderId="27" xfId="0" applyFont="1" applyFill="1" applyBorder="1"/>
    <xf numFmtId="6" fontId="29" fillId="0" borderId="10" xfId="0" applyNumberFormat="1" applyFont="1" applyBorder="1" applyAlignment="1">
      <alignment horizontal="center" vertical="center" wrapText="1"/>
    </xf>
    <xf numFmtId="10" fontId="29" fillId="0" borderId="41" xfId="0" applyNumberFormat="1" applyFont="1" applyFill="1" applyBorder="1" applyAlignment="1">
      <alignment horizontal="right" vertical="center"/>
    </xf>
    <xf numFmtId="164" fontId="29" fillId="0" borderId="45" xfId="0" applyNumberFormat="1" applyFont="1" applyFill="1" applyBorder="1" applyAlignment="1">
      <alignment horizontal="center"/>
    </xf>
    <xf numFmtId="0" fontId="29" fillId="4" borderId="1" xfId="0" applyFont="1" applyFill="1" applyBorder="1" applyAlignment="1">
      <alignment horizontal="center"/>
    </xf>
    <xf numFmtId="164" fontId="29" fillId="14" borderId="45" xfId="0" applyNumberFormat="1" applyFont="1" applyFill="1" applyBorder="1" applyAlignment="1">
      <alignment horizontal="center"/>
    </xf>
    <xf numFmtId="0" fontId="29" fillId="0" borderId="0" xfId="0" applyFont="1" applyBorder="1" applyAlignment="1">
      <alignment horizontal="center"/>
    </xf>
    <xf numFmtId="6" fontId="29" fillId="0" borderId="38" xfId="0" applyNumberFormat="1" applyFont="1" applyBorder="1" applyAlignment="1">
      <alignment horizontal="center" vertical="center" wrapText="1"/>
    </xf>
    <xf numFmtId="0" fontId="29" fillId="0" borderId="37" xfId="0" applyFont="1" applyBorder="1" applyAlignment="1">
      <alignment horizontal="right" vertical="center" wrapText="1"/>
    </xf>
    <xf numFmtId="0" fontId="29" fillId="0" borderId="11" xfId="0" applyFont="1" applyFill="1" applyBorder="1" applyAlignment="1">
      <alignment horizontal="right" vertical="center" wrapText="1"/>
    </xf>
    <xf numFmtId="6" fontId="29" fillId="0" borderId="12" xfId="0" applyNumberFormat="1" applyFont="1" applyFill="1" applyBorder="1" applyAlignment="1">
      <alignment horizontal="center" vertical="center" wrapText="1"/>
    </xf>
    <xf numFmtId="0" fontId="27" fillId="0" borderId="39" xfId="0" applyFont="1" applyBorder="1" applyAlignment="1">
      <alignment horizontal="right"/>
    </xf>
    <xf numFmtId="0" fontId="29" fillId="0" borderId="19" xfId="0" applyFont="1" applyFill="1" applyBorder="1" applyAlignment="1">
      <alignment horizontal="center"/>
    </xf>
    <xf numFmtId="6" fontId="29" fillId="0" borderId="36" xfId="0" applyNumberFormat="1" applyFont="1" applyBorder="1" applyAlignment="1">
      <alignment horizontal="center"/>
    </xf>
    <xf numFmtId="0" fontId="29" fillId="0" borderId="0" xfId="0" applyFont="1" applyFill="1" applyBorder="1" applyAlignment="1">
      <alignment horizontal="right" vertical="center" wrapText="1"/>
    </xf>
    <xf numFmtId="6" fontId="29" fillId="0" borderId="0" xfId="0" applyNumberFormat="1" applyFont="1" applyFill="1" applyBorder="1" applyAlignment="1">
      <alignment horizontal="center" vertical="center" wrapText="1"/>
    </xf>
    <xf numFmtId="0" fontId="29" fillId="4" borderId="15" xfId="0" applyFont="1" applyFill="1" applyBorder="1"/>
    <xf numFmtId="0" fontId="32" fillId="0" borderId="11" xfId="0" applyFont="1" applyBorder="1" applyAlignment="1">
      <alignment horizontal="right" vertical="center" wrapText="1"/>
    </xf>
    <xf numFmtId="0" fontId="27" fillId="4" borderId="13" xfId="0" applyFont="1" applyFill="1" applyBorder="1" applyAlignment="1">
      <alignment horizontal="right" vertical="top" wrapText="1"/>
    </xf>
    <xf numFmtId="164" fontId="29" fillId="4" borderId="15" xfId="0" applyNumberFormat="1" applyFont="1" applyFill="1" applyBorder="1" applyAlignment="1">
      <alignment horizontal="left" vertical="center" wrapText="1"/>
    </xf>
    <xf numFmtId="0" fontId="29" fillId="4" borderId="50" xfId="0" applyFont="1" applyFill="1" applyBorder="1"/>
    <xf numFmtId="0" fontId="29" fillId="4" borderId="51" xfId="0" applyFont="1" applyFill="1" applyBorder="1"/>
    <xf numFmtId="5" fontId="33" fillId="0" borderId="10" xfId="0" applyNumberFormat="1" applyFont="1" applyFill="1" applyBorder="1" applyAlignment="1">
      <alignment horizontal="center" vertical="center" wrapText="1"/>
    </xf>
    <xf numFmtId="0" fontId="27" fillId="4" borderId="1" xfId="0" applyFont="1" applyFill="1" applyBorder="1" applyAlignment="1">
      <alignment horizontal="center"/>
    </xf>
    <xf numFmtId="5" fontId="29" fillId="0" borderId="10" xfId="0" applyNumberFormat="1" applyFont="1" applyFill="1" applyBorder="1" applyAlignment="1">
      <alignment horizontal="center" vertical="center" wrapText="1"/>
    </xf>
    <xf numFmtId="170" fontId="29" fillId="0" borderId="1" xfId="0" applyNumberFormat="1" applyFont="1" applyFill="1" applyBorder="1" applyAlignment="1">
      <alignment horizontal="center"/>
    </xf>
    <xf numFmtId="164" fontId="29" fillId="0" borderId="10" xfId="0" applyNumberFormat="1" applyFont="1" applyBorder="1"/>
    <xf numFmtId="0" fontId="29" fillId="0" borderId="11" xfId="0" applyFont="1" applyBorder="1" applyAlignment="1">
      <alignment horizontal="right" vertical="top" wrapText="1"/>
    </xf>
    <xf numFmtId="5" fontId="29" fillId="0" borderId="12" xfId="0" applyNumberFormat="1" applyFont="1" applyFill="1" applyBorder="1" applyAlignment="1">
      <alignment horizontal="center" vertical="center" wrapText="1"/>
    </xf>
    <xf numFmtId="164" fontId="29" fillId="0" borderId="0" xfId="0" applyNumberFormat="1" applyFont="1" applyBorder="1" applyAlignment="1">
      <alignment horizontal="left" vertical="center" wrapText="1"/>
    </xf>
    <xf numFmtId="0" fontId="29" fillId="0" borderId="0" xfId="0" applyFont="1" applyAlignment="1"/>
    <xf numFmtId="0" fontId="29" fillId="4" borderId="15" xfId="0" applyFont="1" applyFill="1" applyBorder="1" applyAlignment="1">
      <alignment vertical="center" wrapText="1"/>
    </xf>
    <xf numFmtId="0" fontId="34" fillId="0" borderId="0" xfId="0" applyFont="1" applyAlignment="1">
      <alignment vertical="center"/>
    </xf>
    <xf numFmtId="0" fontId="35" fillId="0" borderId="0" xfId="0" applyFont="1"/>
    <xf numFmtId="0" fontId="36" fillId="0" borderId="0" xfId="0" applyFont="1" applyFill="1" applyBorder="1"/>
    <xf numFmtId="0" fontId="32" fillId="0" borderId="9" xfId="0" applyFont="1" applyBorder="1" applyAlignment="1">
      <alignment horizontal="right" vertical="top" wrapText="1"/>
    </xf>
    <xf numFmtId="0" fontId="29" fillId="0" borderId="10" xfId="0" applyFont="1" applyBorder="1" applyAlignment="1">
      <alignment horizontal="left" vertical="center" wrapText="1"/>
    </xf>
    <xf numFmtId="9" fontId="29" fillId="0" borderId="10" xfId="0" applyNumberFormat="1" applyFont="1" applyFill="1" applyBorder="1" applyAlignment="1">
      <alignment horizontal="center" vertical="center" wrapText="1"/>
    </xf>
    <xf numFmtId="164" fontId="29" fillId="0" borderId="0" xfId="0" applyNumberFormat="1" applyFont="1"/>
    <xf numFmtId="0" fontId="29" fillId="0" borderId="7" xfId="0" applyFont="1" applyBorder="1"/>
    <xf numFmtId="0" fontId="34" fillId="0" borderId="0" xfId="0" applyFont="1" applyBorder="1" applyAlignment="1">
      <alignment horizontal="left" vertical="top" wrapText="1"/>
    </xf>
    <xf numFmtId="0" fontId="32" fillId="0" borderId="0" xfId="0" applyFont="1" applyFill="1" applyBorder="1" applyAlignment="1">
      <alignment horizontal="right" vertical="center" wrapText="1"/>
    </xf>
    <xf numFmtId="9" fontId="29" fillId="0" borderId="0" xfId="0" applyNumberFormat="1" applyFont="1" applyFill="1" applyBorder="1" applyAlignment="1">
      <alignment horizontal="left" vertical="center" wrapText="1"/>
    </xf>
    <xf numFmtId="9" fontId="29" fillId="4" borderId="15" xfId="0" applyNumberFormat="1" applyFont="1" applyFill="1" applyBorder="1" applyAlignment="1">
      <alignment horizontal="left" vertical="center" wrapText="1"/>
    </xf>
    <xf numFmtId="0" fontId="32" fillId="0" borderId="9" xfId="0" applyFont="1" applyBorder="1" applyAlignment="1">
      <alignment horizontal="right" vertical="center" wrapText="1"/>
    </xf>
    <xf numFmtId="171" fontId="29" fillId="0" borderId="10" xfId="0" applyNumberFormat="1" applyFont="1" applyFill="1" applyBorder="1" applyAlignment="1">
      <alignment horizontal="center" wrapText="1"/>
    </xf>
    <xf numFmtId="1" fontId="29" fillId="0" borderId="12" xfId="0" applyNumberFormat="1" applyFont="1" applyFill="1" applyBorder="1" applyAlignment="1">
      <alignment horizontal="center" wrapText="1"/>
    </xf>
    <xf numFmtId="0" fontId="32" fillId="0" borderId="0" xfId="0" applyFont="1" applyBorder="1" applyAlignment="1">
      <alignment horizontal="right" vertical="center" wrapText="1"/>
    </xf>
    <xf numFmtId="1" fontId="29" fillId="0" borderId="0" xfId="0" applyNumberFormat="1" applyFont="1" applyFill="1" applyBorder="1" applyAlignment="1">
      <alignment horizontal="center" wrapText="1"/>
    </xf>
    <xf numFmtId="1" fontId="29" fillId="4" borderId="15" xfId="0" applyNumberFormat="1" applyFont="1" applyFill="1" applyBorder="1" applyAlignment="1">
      <alignment horizontal="center" wrapText="1"/>
    </xf>
    <xf numFmtId="0" fontId="29" fillId="0" borderId="0" xfId="0" applyFont="1" applyBorder="1" applyAlignment="1">
      <alignment vertical="center" wrapText="1"/>
    </xf>
    <xf numFmtId="0" fontId="32" fillId="0" borderId="43" xfId="0" applyFont="1" applyBorder="1" applyAlignment="1">
      <alignment horizontal="right" vertical="center" wrapText="1"/>
    </xf>
    <xf numFmtId="164" fontId="29" fillId="0" borderId="44" xfId="0" applyNumberFormat="1" applyFont="1" applyFill="1" applyBorder="1" applyAlignment="1">
      <alignment horizontal="center" wrapText="1"/>
    </xf>
    <xf numFmtId="0" fontId="32" fillId="0" borderId="37" xfId="0" applyFont="1" applyBorder="1" applyAlignment="1">
      <alignment horizontal="right" vertical="center" wrapText="1"/>
    </xf>
    <xf numFmtId="164" fontId="29" fillId="0" borderId="12" xfId="0" applyNumberFormat="1" applyFont="1" applyFill="1" applyBorder="1" applyAlignment="1">
      <alignment horizontal="center" wrapText="1"/>
    </xf>
    <xf numFmtId="165" fontId="27" fillId="0" borderId="0" xfId="0" applyNumberFormat="1" applyFont="1" applyBorder="1" applyAlignment="1">
      <alignment horizontal="left" vertical="center" wrapText="1"/>
    </xf>
    <xf numFmtId="0" fontId="32" fillId="0" borderId="40" xfId="0" applyFont="1" applyFill="1" applyBorder="1" applyAlignment="1">
      <alignment horizontal="right" vertical="center" wrapText="1"/>
    </xf>
    <xf numFmtId="164" fontId="29" fillId="0" borderId="34" xfId="0" applyNumberFormat="1" applyFont="1" applyFill="1" applyBorder="1" applyAlignment="1">
      <alignment horizontal="center" wrapText="1"/>
    </xf>
    <xf numFmtId="0" fontId="29" fillId="0" borderId="0" xfId="0" applyFont="1" applyBorder="1" applyAlignment="1">
      <alignment horizontal="left" vertical="center" wrapText="1"/>
    </xf>
    <xf numFmtId="0" fontId="27" fillId="16" borderId="46" xfId="25" applyFont="1" applyFill="1" applyBorder="1" applyAlignment="1">
      <alignment horizontal="left"/>
    </xf>
    <xf numFmtId="0" fontId="27" fillId="16" borderId="50" xfId="25" applyFont="1" applyFill="1" applyBorder="1" applyAlignment="1">
      <alignment horizontal="left"/>
    </xf>
    <xf numFmtId="0" fontId="29" fillId="16" borderId="51" xfId="25" applyFont="1" applyFill="1" applyBorder="1" applyAlignment="1">
      <alignment horizontal="right"/>
    </xf>
    <xf numFmtId="173" fontId="38" fillId="0" borderId="10" xfId="0" applyNumberFormat="1" applyFont="1" applyBorder="1" applyAlignment="1">
      <alignment horizontal="center" vertical="top" wrapText="1"/>
    </xf>
    <xf numFmtId="14" fontId="37" fillId="14" borderId="25" xfId="26" applyNumberFormat="1" applyFont="1" applyFill="1" applyBorder="1" applyAlignment="1" applyProtection="1">
      <alignment horizontal="right"/>
      <protection locked="0"/>
    </xf>
    <xf numFmtId="173" fontId="38" fillId="0" borderId="7" xfId="0" applyNumberFormat="1" applyFont="1" applyBorder="1" applyAlignment="1">
      <alignment horizontal="center" vertical="top" wrapText="1"/>
    </xf>
    <xf numFmtId="44" fontId="37" fillId="14" borderId="26" xfId="26" applyNumberFormat="1" applyFont="1" applyFill="1" applyBorder="1" applyAlignment="1" applyProtection="1">
      <alignment horizontal="right"/>
      <protection locked="0"/>
    </xf>
    <xf numFmtId="0" fontId="29" fillId="0" borderId="0" xfId="0" applyFont="1" applyAlignment="1">
      <alignment vertical="top"/>
    </xf>
    <xf numFmtId="10" fontId="27" fillId="0" borderId="44" xfId="0" applyNumberFormat="1" applyFont="1" applyBorder="1" applyAlignment="1">
      <alignment horizontal="center"/>
    </xf>
    <xf numFmtId="10" fontId="27" fillId="0" borderId="12" xfId="0" applyNumberFormat="1" applyFont="1" applyBorder="1" applyAlignment="1">
      <alignment horizontal="center" vertical="center"/>
    </xf>
    <xf numFmtId="164" fontId="29" fillId="0" borderId="1" xfId="0" applyNumberFormat="1" applyFont="1" applyBorder="1" applyAlignment="1">
      <alignment vertical="center"/>
    </xf>
    <xf numFmtId="0" fontId="27" fillId="4" borderId="27" xfId="0" applyFont="1" applyFill="1" applyBorder="1" applyAlignment="1">
      <alignment horizontal="center"/>
    </xf>
    <xf numFmtId="0" fontId="33" fillId="8" borderId="9" xfId="24" applyFont="1" applyFill="1" applyBorder="1" applyAlignment="1">
      <alignment horizontal="left"/>
    </xf>
    <xf numFmtId="0" fontId="33" fillId="8" borderId="61" xfId="24" applyFont="1" applyFill="1" applyBorder="1" applyAlignment="1">
      <alignment horizontal="right"/>
    </xf>
    <xf numFmtId="0" fontId="33" fillId="8" borderId="11" xfId="24" applyFont="1" applyFill="1" applyBorder="1" applyAlignment="1">
      <alignment horizontal="left"/>
    </xf>
    <xf numFmtId="0" fontId="33" fillId="8" borderId="62" xfId="24" applyFont="1" applyFill="1" applyBorder="1" applyAlignment="1">
      <alignment horizontal="right" vertical="top"/>
    </xf>
    <xf numFmtId="164" fontId="29" fillId="0" borderId="1" xfId="0" applyNumberFormat="1" applyFont="1" applyFill="1" applyBorder="1" applyAlignment="1">
      <alignment vertical="center"/>
    </xf>
    <xf numFmtId="0" fontId="33" fillId="8" borderId="41" xfId="24" applyFont="1" applyFill="1" applyBorder="1" applyAlignment="1">
      <alignment horizontal="left"/>
    </xf>
    <xf numFmtId="0" fontId="33" fillId="8" borderId="63" xfId="24" applyFont="1" applyFill="1" applyBorder="1" applyAlignment="1">
      <alignment horizontal="right"/>
    </xf>
    <xf numFmtId="0" fontId="27" fillId="4" borderId="51" xfId="0" applyFont="1" applyFill="1" applyBorder="1" applyAlignment="1">
      <alignment horizontal="center" vertical="center"/>
    </xf>
    <xf numFmtId="0" fontId="29" fillId="0" borderId="11" xfId="0" applyFont="1" applyFill="1" applyBorder="1" applyAlignment="1">
      <alignment horizontal="right" vertical="top"/>
    </xf>
    <xf numFmtId="0" fontId="34" fillId="0" borderId="0" xfId="0" applyFont="1" applyBorder="1" applyAlignment="1">
      <alignment horizontal="left" vertical="top"/>
    </xf>
    <xf numFmtId="0" fontId="29" fillId="4" borderId="53" xfId="0" applyFont="1" applyFill="1" applyBorder="1"/>
    <xf numFmtId="0" fontId="29" fillId="0" borderId="31" xfId="0" applyFont="1" applyBorder="1" applyAlignment="1">
      <alignment horizontal="center"/>
    </xf>
    <xf numFmtId="164" fontId="29" fillId="0" borderId="32" xfId="0" applyNumberFormat="1" applyFont="1" applyBorder="1"/>
    <xf numFmtId="0" fontId="27" fillId="4" borderId="14" xfId="0" applyFont="1" applyFill="1" applyBorder="1" applyAlignment="1">
      <alignment horizontal="center"/>
    </xf>
    <xf numFmtId="0" fontId="33" fillId="8" borderId="9" xfId="24" applyFont="1" applyFill="1" applyBorder="1" applyAlignment="1">
      <alignment horizontal="left" vertical="top"/>
    </xf>
    <xf numFmtId="0" fontId="33" fillId="8" borderId="61" xfId="24" applyFont="1" applyFill="1" applyBorder="1" applyAlignment="1">
      <alignment horizontal="right" vertical="top"/>
    </xf>
    <xf numFmtId="0" fontId="29" fillId="0" borderId="9" xfId="0" applyFont="1" applyFill="1" applyBorder="1" applyAlignment="1">
      <alignment horizontal="right" vertical="top"/>
    </xf>
    <xf numFmtId="6" fontId="37" fillId="0" borderId="49" xfId="26" applyNumberFormat="1" applyFont="1" applyFill="1" applyBorder="1" applyAlignment="1" applyProtection="1">
      <alignment horizontal="right" vertical="top"/>
      <protection locked="0"/>
    </xf>
    <xf numFmtId="0" fontId="27" fillId="0" borderId="0" xfId="0" applyFont="1" applyFill="1" applyBorder="1" applyAlignment="1">
      <alignment horizontal="center" vertical="top"/>
    </xf>
    <xf numFmtId="0" fontId="29" fillId="0" borderId="43" xfId="0" applyFont="1" applyBorder="1" applyAlignment="1">
      <alignment horizontal="right" vertical="top"/>
    </xf>
    <xf numFmtId="10" fontId="29" fillId="14" borderId="44" xfId="0" applyNumberFormat="1" applyFont="1" applyFill="1" applyBorder="1" applyAlignment="1">
      <alignment horizontal="center" vertical="top"/>
    </xf>
    <xf numFmtId="169" fontId="37" fillId="14" borderId="25" xfId="26" applyNumberFormat="1" applyFont="1" applyFill="1" applyBorder="1" applyAlignment="1" applyProtection="1">
      <alignment horizontal="right" vertical="top"/>
      <protection locked="0"/>
    </xf>
    <xf numFmtId="0" fontId="29" fillId="0" borderId="9" xfId="0" applyFont="1" applyBorder="1" applyAlignment="1">
      <alignment horizontal="right" vertical="top"/>
    </xf>
    <xf numFmtId="164" fontId="29" fillId="0" borderId="10" xfId="0" applyNumberFormat="1" applyFont="1" applyFill="1" applyBorder="1" applyAlignment="1">
      <alignment horizontal="center" vertical="top"/>
    </xf>
    <xf numFmtId="10" fontId="29" fillId="0" borderId="10" xfId="0" applyNumberFormat="1" applyFont="1" applyFill="1" applyBorder="1" applyAlignment="1">
      <alignment horizontal="center" vertical="top"/>
    </xf>
    <xf numFmtId="165" fontId="38" fillId="0" borderId="10" xfId="0" applyNumberFormat="1" applyFont="1" applyFill="1" applyBorder="1" applyAlignment="1">
      <alignment horizontal="center" vertical="top" wrapText="1"/>
    </xf>
    <xf numFmtId="0" fontId="29" fillId="0" borderId="11" xfId="0" applyFont="1" applyFill="1" applyBorder="1" applyAlignment="1">
      <alignment horizontal="right" vertical="top" wrapText="1"/>
    </xf>
    <xf numFmtId="0" fontId="29" fillId="0" borderId="6" xfId="0" applyFont="1" applyFill="1" applyBorder="1" applyAlignment="1">
      <alignment horizontal="right" vertical="center"/>
    </xf>
    <xf numFmtId="0" fontId="27" fillId="4" borderId="31" xfId="0" applyFont="1" applyFill="1" applyBorder="1" applyAlignment="1">
      <alignment horizontal="right"/>
    </xf>
    <xf numFmtId="0" fontId="29" fillId="0" borderId="10" xfId="0" applyFont="1" applyBorder="1" applyAlignment="1">
      <alignment horizontal="center" vertical="top" wrapText="1"/>
    </xf>
    <xf numFmtId="0" fontId="29" fillId="0" borderId="12" xfId="0" applyFont="1" applyBorder="1" applyAlignment="1">
      <alignment horizontal="center" vertical="top" wrapText="1"/>
    </xf>
    <xf numFmtId="0" fontId="29" fillId="0" borderId="43" xfId="0" applyFont="1" applyBorder="1" applyAlignment="1">
      <alignment horizontal="right"/>
    </xf>
    <xf numFmtId="0" fontId="29" fillId="0" borderId="11" xfId="0" applyFont="1" applyFill="1" applyBorder="1" applyAlignment="1">
      <alignment horizontal="right"/>
    </xf>
    <xf numFmtId="6" fontId="37" fillId="14" borderId="49" xfId="26" applyNumberFormat="1" applyFont="1" applyFill="1" applyBorder="1" applyAlignment="1" applyProtection="1">
      <alignment horizontal="right" vertical="top"/>
      <protection locked="0"/>
    </xf>
    <xf numFmtId="170" fontId="37" fillId="14" borderId="25" xfId="26" applyNumberFormat="1" applyFont="1" applyFill="1" applyBorder="1" applyAlignment="1" applyProtection="1">
      <alignment horizontal="right"/>
      <protection locked="0"/>
    </xf>
    <xf numFmtId="171" fontId="29" fillId="14" borderId="37" xfId="0" applyNumberFormat="1" applyFont="1" applyFill="1" applyBorder="1" applyAlignment="1">
      <alignment horizontal="center" vertical="center"/>
    </xf>
    <xf numFmtId="0" fontId="29" fillId="0" borderId="8" xfId="0" applyFont="1" applyBorder="1"/>
    <xf numFmtId="6" fontId="29" fillId="0" borderId="19" xfId="0" applyNumberFormat="1" applyFont="1" applyBorder="1"/>
    <xf numFmtId="0" fontId="0" fillId="0" borderId="0" xfId="0" applyFont="1" applyAlignment="1">
      <alignment horizontal="right" vertical="center"/>
    </xf>
    <xf numFmtId="10" fontId="2" fillId="0" borderId="1" xfId="0" applyNumberFormat="1" applyFont="1" applyBorder="1" applyAlignment="1">
      <alignment horizontal="center"/>
    </xf>
    <xf numFmtId="0" fontId="0" fillId="0" borderId="0" xfId="0" applyAlignment="1">
      <alignment horizontal="right" vertical="center"/>
    </xf>
    <xf numFmtId="0" fontId="3" fillId="0" borderId="0" xfId="0" applyFont="1" applyAlignment="1">
      <alignment horizontal="right"/>
    </xf>
    <xf numFmtId="1" fontId="0" fillId="0" borderId="1" xfId="0" applyNumberFormat="1" applyFill="1" applyBorder="1" applyAlignment="1">
      <alignment horizontal="center"/>
    </xf>
    <xf numFmtId="6" fontId="7" fillId="0" borderId="0" xfId="24" applyNumberFormat="1" applyFont="1" applyBorder="1"/>
    <xf numFmtId="0" fontId="29" fillId="0" borderId="4" xfId="0" applyFont="1" applyBorder="1" applyAlignment="1">
      <alignment horizontal="right" vertical="center" wrapText="1"/>
    </xf>
    <xf numFmtId="6" fontId="29" fillId="0" borderId="0" xfId="0" applyNumberFormat="1" applyFont="1" applyBorder="1"/>
    <xf numFmtId="0" fontId="31" fillId="4" borderId="13" xfId="0" applyFont="1" applyFill="1" applyBorder="1" applyAlignment="1">
      <alignment horizontal="right" vertical="center"/>
    </xf>
    <xf numFmtId="0" fontId="29" fillId="4" borderId="50" xfId="0" applyFont="1" applyFill="1" applyBorder="1" applyAlignment="1">
      <alignment vertical="center"/>
    </xf>
    <xf numFmtId="0" fontId="29" fillId="4" borderId="51" xfId="0" applyFont="1" applyFill="1" applyBorder="1" applyAlignment="1">
      <alignment vertical="center"/>
    </xf>
    <xf numFmtId="0" fontId="32" fillId="0" borderId="9" xfId="0" applyFont="1" applyBorder="1" applyAlignment="1">
      <alignment horizontal="right" vertical="top"/>
    </xf>
    <xf numFmtId="0" fontId="29" fillId="0" borderId="5" xfId="0" applyFont="1" applyBorder="1" applyAlignment="1"/>
    <xf numFmtId="0" fontId="32" fillId="0" borderId="11" xfId="0" applyFont="1" applyBorder="1" applyAlignment="1">
      <alignment horizontal="right" vertical="center"/>
    </xf>
    <xf numFmtId="0" fontId="29" fillId="0" borderId="7" xfId="0" applyFont="1" applyBorder="1" applyAlignment="1"/>
    <xf numFmtId="0" fontId="31" fillId="4" borderId="20" xfId="0" applyFont="1" applyFill="1" applyBorder="1" applyAlignment="1">
      <alignment horizontal="right" vertical="center"/>
    </xf>
    <xf numFmtId="165" fontId="29" fillId="4" borderId="27" xfId="0" applyNumberFormat="1" applyFont="1" applyFill="1" applyBorder="1" applyAlignment="1">
      <alignment horizontal="left" vertical="center"/>
    </xf>
    <xf numFmtId="1" fontId="29" fillId="4" borderId="15" xfId="0" applyNumberFormat="1" applyFont="1" applyFill="1" applyBorder="1" applyAlignment="1">
      <alignment horizontal="center"/>
    </xf>
    <xf numFmtId="0" fontId="32" fillId="0" borderId="43" xfId="0" applyFont="1" applyBorder="1" applyAlignment="1">
      <alignment horizontal="right" vertical="center"/>
    </xf>
    <xf numFmtId="164" fontId="29" fillId="14" borderId="44" xfId="0" applyNumberFormat="1" applyFont="1" applyFill="1" applyBorder="1" applyAlignment="1">
      <alignment horizontal="center"/>
    </xf>
    <xf numFmtId="0" fontId="32" fillId="0" borderId="37" xfId="0" applyFont="1" applyBorder="1" applyAlignment="1">
      <alignment horizontal="right" vertical="center"/>
    </xf>
    <xf numFmtId="164" fontId="29" fillId="0" borderId="12" xfId="0" applyNumberFormat="1" applyFont="1" applyFill="1" applyBorder="1" applyAlignment="1">
      <alignment horizontal="center"/>
    </xf>
    <xf numFmtId="0" fontId="29" fillId="4" borderId="15" xfId="0" applyFont="1" applyFill="1" applyBorder="1" applyAlignment="1">
      <alignment vertical="center"/>
    </xf>
    <xf numFmtId="0" fontId="29" fillId="14" borderId="10" xfId="0" applyFont="1" applyFill="1" applyBorder="1" applyAlignment="1">
      <alignment horizontal="center" vertical="top"/>
    </xf>
    <xf numFmtId="0" fontId="29" fillId="0" borderId="11" xfId="0" applyFont="1" applyBorder="1" applyAlignment="1">
      <alignment horizontal="right" vertical="top"/>
    </xf>
    <xf numFmtId="0" fontId="29" fillId="14" borderId="12" xfId="0" applyFont="1" applyFill="1" applyBorder="1" applyAlignment="1">
      <alignment horizontal="center" vertical="top"/>
    </xf>
    <xf numFmtId="174" fontId="29" fillId="0" borderId="0" xfId="0" applyNumberFormat="1" applyFont="1" applyAlignment="1"/>
    <xf numFmtId="164" fontId="29" fillId="0" borderId="1" xfId="0" applyNumberFormat="1" applyFont="1" applyBorder="1" applyAlignment="1">
      <alignment vertical="top"/>
    </xf>
    <xf numFmtId="1" fontId="29" fillId="0" borderId="54" xfId="0" applyNumberFormat="1" applyFont="1" applyFill="1" applyBorder="1" applyAlignment="1">
      <alignment horizontal="center" vertical="top"/>
    </xf>
    <xf numFmtId="164" fontId="29" fillId="0" borderId="12" xfId="0" applyNumberFormat="1" applyFont="1" applyBorder="1" applyAlignment="1">
      <alignment vertical="top"/>
    </xf>
    <xf numFmtId="0" fontId="31" fillId="4" borderId="46" xfId="0" applyFont="1" applyFill="1" applyBorder="1" applyAlignment="1">
      <alignment horizontal="left" vertical="center"/>
    </xf>
    <xf numFmtId="0" fontId="31" fillId="4" borderId="51" xfId="0" applyFont="1" applyFill="1" applyBorder="1" applyAlignment="1">
      <alignment horizontal="left" vertical="center"/>
    </xf>
    <xf numFmtId="165" fontId="40" fillId="0" borderId="21" xfId="0" applyNumberFormat="1" applyFont="1" applyFill="1" applyBorder="1" applyAlignment="1">
      <alignment vertical="center"/>
    </xf>
    <xf numFmtId="165" fontId="40" fillId="0" borderId="0" xfId="0" applyNumberFormat="1" applyFont="1" applyFill="1" applyBorder="1" applyAlignment="1">
      <alignment vertical="center"/>
    </xf>
    <xf numFmtId="0" fontId="29" fillId="0" borderId="0" xfId="0" applyFont="1" applyFill="1" applyBorder="1" applyAlignment="1">
      <alignment horizontal="right" vertical="top"/>
    </xf>
    <xf numFmtId="173" fontId="38" fillId="0" borderId="0" xfId="0" applyNumberFormat="1" applyFont="1" applyBorder="1" applyAlignment="1">
      <alignment horizontal="center" vertical="top" wrapText="1"/>
    </xf>
    <xf numFmtId="0" fontId="29" fillId="14" borderId="18" xfId="0" applyFont="1" applyFill="1" applyBorder="1" applyAlignment="1">
      <alignment horizontal="left"/>
    </xf>
    <xf numFmtId="0" fontId="27" fillId="4" borderId="20" xfId="0" applyFont="1" applyFill="1" applyBorder="1" applyAlignment="1">
      <alignment horizontal="left" vertical="center"/>
    </xf>
    <xf numFmtId="0" fontId="31" fillId="4" borderId="13" xfId="0" applyFont="1" applyFill="1" applyBorder="1" applyAlignment="1">
      <alignment horizontal="left" vertical="center" wrapText="1"/>
    </xf>
    <xf numFmtId="9" fontId="29" fillId="0" borderId="12" xfId="0" applyNumberFormat="1" applyFont="1" applyFill="1" applyBorder="1" applyAlignment="1">
      <alignment horizontal="center" vertical="center" wrapText="1"/>
    </xf>
    <xf numFmtId="9" fontId="29" fillId="14" borderId="1" xfId="0" applyNumberFormat="1" applyFont="1" applyFill="1" applyBorder="1" applyAlignment="1">
      <alignment horizontal="center" vertical="center"/>
    </xf>
    <xf numFmtId="9" fontId="29" fillId="14" borderId="19" xfId="0" applyNumberFormat="1" applyFont="1" applyFill="1" applyBorder="1" applyAlignment="1">
      <alignment horizontal="center" vertical="center"/>
    </xf>
    <xf numFmtId="9" fontId="29" fillId="14" borderId="35" xfId="0" applyNumberFormat="1" applyFont="1" applyFill="1" applyBorder="1" applyAlignment="1">
      <alignment horizontal="center" vertical="center"/>
    </xf>
    <xf numFmtId="10" fontId="29" fillId="14" borderId="35" xfId="0" applyNumberFormat="1" applyFont="1" applyFill="1" applyBorder="1" applyAlignment="1">
      <alignment horizontal="center"/>
    </xf>
    <xf numFmtId="4" fontId="29" fillId="14" borderId="54" xfId="0" applyNumberFormat="1" applyFont="1" applyFill="1" applyBorder="1" applyAlignment="1">
      <alignment horizontal="center" vertical="center"/>
    </xf>
    <xf numFmtId="165" fontId="40" fillId="0" borderId="39" xfId="0" applyNumberFormat="1" applyFont="1" applyFill="1" applyBorder="1" applyAlignment="1">
      <alignment horizontal="center" vertical="center"/>
    </xf>
    <xf numFmtId="165" fontId="40" fillId="0" borderId="36" xfId="0" applyNumberFormat="1" applyFont="1" applyFill="1" applyBorder="1" applyAlignment="1">
      <alignment horizontal="center" vertical="center"/>
    </xf>
    <xf numFmtId="0" fontId="41" fillId="0" borderId="39" xfId="0" applyFont="1" applyBorder="1" applyAlignment="1">
      <alignment horizontal="center" vertical="center" wrapText="1"/>
    </xf>
    <xf numFmtId="0" fontId="41" fillId="0" borderId="36" xfId="0" applyFont="1" applyBorder="1" applyAlignment="1">
      <alignment horizontal="center" vertical="center" wrapText="1"/>
    </xf>
    <xf numFmtId="165" fontId="40" fillId="0" borderId="2" xfId="0" applyNumberFormat="1" applyFont="1" applyFill="1" applyBorder="1" applyAlignment="1">
      <alignment horizontal="center" vertical="center"/>
    </xf>
    <xf numFmtId="165" fontId="40" fillId="0" borderId="3" xfId="0" applyNumberFormat="1" applyFont="1" applyFill="1" applyBorder="1" applyAlignment="1">
      <alignment horizontal="center" vertical="center"/>
    </xf>
    <xf numFmtId="0" fontId="27" fillId="0" borderId="4" xfId="0" applyFont="1" applyBorder="1" applyAlignment="1">
      <alignment horizontal="center"/>
    </xf>
    <xf numFmtId="0" fontId="27" fillId="0" borderId="5" xfId="0" applyFont="1" applyBorder="1" applyAlignment="1">
      <alignment horizontal="center"/>
    </xf>
    <xf numFmtId="0" fontId="27" fillId="0" borderId="6" xfId="0" applyFont="1" applyBorder="1" applyAlignment="1">
      <alignment horizontal="center"/>
    </xf>
    <xf numFmtId="0" fontId="27" fillId="0" borderId="7" xfId="0" applyFont="1" applyBorder="1" applyAlignment="1">
      <alignment horizontal="center"/>
    </xf>
    <xf numFmtId="0" fontId="27" fillId="0" borderId="2" xfId="0" applyFont="1" applyBorder="1" applyAlignment="1">
      <alignment horizontal="center"/>
    </xf>
    <xf numFmtId="0" fontId="27" fillId="0" borderId="3" xfId="0" applyFont="1" applyBorder="1" applyAlignment="1">
      <alignment horizontal="center"/>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5" xfId="0" applyFont="1" applyBorder="1" applyAlignment="1">
      <alignment horizontal="center" vertical="center" wrapText="1"/>
    </xf>
    <xf numFmtId="0" fontId="27" fillId="0" borderId="20" xfId="0" applyFont="1" applyBorder="1" applyAlignment="1">
      <alignment horizontal="center"/>
    </xf>
    <xf numFmtId="0" fontId="27" fillId="0" borderId="42" xfId="0" applyFont="1" applyBorder="1" applyAlignment="1">
      <alignment horizontal="center"/>
    </xf>
    <xf numFmtId="0" fontId="27" fillId="0" borderId="27" xfId="0" applyFont="1" applyBorder="1" applyAlignment="1">
      <alignment horizontal="center"/>
    </xf>
    <xf numFmtId="0" fontId="27" fillId="0" borderId="8" xfId="0" applyFont="1" applyBorder="1" applyAlignment="1">
      <alignment horizontal="center"/>
    </xf>
    <xf numFmtId="0" fontId="27" fillId="0" borderId="0" xfId="0" applyFont="1" applyBorder="1" applyAlignment="1">
      <alignment horizontal="center"/>
    </xf>
    <xf numFmtId="0" fontId="39" fillId="0" borderId="0" xfId="0" applyFont="1" applyAlignment="1">
      <alignment horizontal="left" vertical="center" wrapText="1"/>
    </xf>
    <xf numFmtId="0" fontId="29" fillId="0" borderId="39" xfId="0" applyFont="1" applyFill="1" applyBorder="1" applyAlignment="1">
      <alignment horizontal="right" vertical="top" wrapText="1"/>
    </xf>
    <xf numFmtId="0" fontId="29" fillId="0" borderId="64" xfId="0" applyFont="1" applyFill="1" applyBorder="1" applyAlignment="1">
      <alignment horizontal="right" vertical="top" wrapText="1"/>
    </xf>
    <xf numFmtId="0" fontId="29" fillId="0" borderId="65" xfId="0" applyFont="1" applyFill="1" applyBorder="1" applyAlignment="1">
      <alignment horizontal="right" vertical="top" wrapText="1"/>
    </xf>
    <xf numFmtId="0" fontId="29" fillId="0" borderId="58" xfId="0" applyFont="1" applyBorder="1" applyAlignment="1">
      <alignment horizontal="right" vertical="top"/>
    </xf>
    <xf numFmtId="0" fontId="29" fillId="0" borderId="59" xfId="0" applyFont="1" applyBorder="1" applyAlignment="1">
      <alignment horizontal="right" vertical="top"/>
    </xf>
    <xf numFmtId="0" fontId="29" fillId="0" borderId="60" xfId="0" applyFont="1" applyBorder="1" applyAlignment="1">
      <alignment horizontal="right" vertical="top"/>
    </xf>
    <xf numFmtId="0" fontId="29" fillId="0" borderId="41" xfId="0" applyFont="1" applyBorder="1" applyAlignment="1">
      <alignment horizontal="right" vertical="center"/>
    </xf>
    <xf numFmtId="0" fontId="29" fillId="0" borderId="52" xfId="0" applyFont="1" applyBorder="1" applyAlignment="1">
      <alignment horizontal="right" vertical="center"/>
    </xf>
    <xf numFmtId="0" fontId="29" fillId="0" borderId="57" xfId="0" applyFont="1" applyBorder="1" applyAlignment="1">
      <alignment horizontal="right" vertical="center"/>
    </xf>
    <xf numFmtId="0" fontId="27" fillId="4" borderId="46" xfId="0" applyFont="1" applyFill="1" applyBorder="1" applyAlignment="1">
      <alignment horizontal="left" vertical="top" wrapText="1"/>
    </xf>
    <xf numFmtId="0" fontId="27" fillId="4" borderId="50" xfId="0" applyFont="1" applyFill="1" applyBorder="1" applyAlignment="1">
      <alignment horizontal="left" vertical="top" wrapText="1"/>
    </xf>
    <xf numFmtId="0" fontId="29" fillId="0" borderId="41" xfId="0" applyFont="1" applyFill="1" applyBorder="1" applyAlignment="1">
      <alignment horizontal="right" vertical="center" wrapText="1"/>
    </xf>
    <xf numFmtId="0" fontId="29" fillId="0" borderId="52" xfId="0" applyFont="1" applyFill="1" applyBorder="1" applyAlignment="1">
      <alignment horizontal="right" vertical="center" wrapText="1"/>
    </xf>
    <xf numFmtId="0" fontId="29" fillId="14" borderId="66" xfId="0" applyFont="1" applyFill="1" applyBorder="1" applyAlignment="1">
      <alignment horizontal="left" vertical="center" wrapText="1"/>
    </xf>
    <xf numFmtId="0" fontId="29" fillId="14" borderId="67" xfId="0" applyFont="1" applyFill="1" applyBorder="1" applyAlignment="1">
      <alignment horizontal="left" vertical="center" wrapText="1"/>
    </xf>
    <xf numFmtId="0" fontId="1" fillId="10" borderId="22" xfId="25" applyFont="1" applyFill="1" applyBorder="1" applyAlignment="1">
      <alignment horizontal="right"/>
    </xf>
    <xf numFmtId="0" fontId="1" fillId="10" borderId="23" xfId="25" applyFont="1" applyFill="1" applyBorder="1" applyAlignment="1">
      <alignment horizontal="right"/>
    </xf>
    <xf numFmtId="0" fontId="1" fillId="10" borderId="24" xfId="25" applyFont="1" applyFill="1" applyBorder="1" applyAlignment="1">
      <alignment horizontal="right"/>
    </xf>
    <xf numFmtId="0" fontId="2" fillId="10" borderId="22" xfId="25" applyFont="1" applyFill="1" applyBorder="1" applyAlignment="1">
      <alignment horizontal="center"/>
    </xf>
    <xf numFmtId="0" fontId="2" fillId="10" borderId="23" xfId="25" applyFont="1" applyFill="1" applyBorder="1" applyAlignment="1">
      <alignment horizontal="center"/>
    </xf>
    <xf numFmtId="0" fontId="2" fillId="10" borderId="24" xfId="25" applyFont="1" applyFill="1" applyBorder="1" applyAlignment="1">
      <alignment horizontal="center"/>
    </xf>
    <xf numFmtId="0" fontId="7" fillId="8" borderId="20" xfId="24" applyFont="1" applyFill="1" applyBorder="1" applyAlignment="1" applyProtection="1">
      <alignment horizontal="left"/>
      <protection locked="0"/>
    </xf>
    <xf numFmtId="0" fontId="7" fillId="8" borderId="27" xfId="24" applyFont="1" applyFill="1" applyBorder="1" applyAlignment="1" applyProtection="1">
      <alignment horizontal="left"/>
      <protection locked="0"/>
    </xf>
    <xf numFmtId="0" fontId="26" fillId="2" borderId="21" xfId="1" applyFont="1" applyFill="1" applyBorder="1" applyAlignment="1" applyProtection="1">
      <alignment horizontal="center"/>
    </xf>
    <xf numFmtId="0" fontId="26" fillId="2" borderId="3" xfId="1" applyFont="1" applyFill="1" applyBorder="1" applyAlignment="1" applyProtection="1">
      <alignment horizontal="center"/>
    </xf>
    <xf numFmtId="0" fontId="0" fillId="0" borderId="0" xfId="0" applyFont="1" applyBorder="1" applyAlignment="1">
      <alignment horizontal="left" vertical="top" wrapText="1"/>
    </xf>
    <xf numFmtId="0" fontId="9" fillId="0" borderId="0" xfId="0" applyFont="1" applyBorder="1" applyAlignment="1">
      <alignment horizontal="left" vertical="top" wrapText="1"/>
    </xf>
  </cellXfs>
  <cellStyles count="32">
    <cellStyle name="20% - Accent3 2" xfId="25"/>
    <cellStyle name="Calculation 2" xfId="27"/>
    <cellStyle name="Comma 2" xfId="3"/>
    <cellStyle name="Comma 3" xfId="30"/>
    <cellStyle name="Comma0" xfId="4"/>
    <cellStyle name="Comma0 2" xfId="5"/>
    <cellStyle name="Currency 2" xfId="6"/>
    <cellStyle name="Currency 3" xfId="7"/>
    <cellStyle name="Currency 4" xfId="8"/>
    <cellStyle name="Currency 5" xfId="28"/>
    <cellStyle name="Currency0" xfId="9"/>
    <cellStyle name="Currency0 2" xfId="10"/>
    <cellStyle name="Date" xfId="11"/>
    <cellStyle name="Fixed" xfId="12"/>
    <cellStyle name="Input 2" xfId="26"/>
    <cellStyle name="Normal" xfId="0" builtinId="0"/>
    <cellStyle name="Normal 10" xfId="24"/>
    <cellStyle name="Normal 2" xfId="13"/>
    <cellStyle name="Normal 2 2" xfId="14"/>
    <cellStyle name="Normal 3" xfId="15"/>
    <cellStyle name="Normal 4" xfId="16"/>
    <cellStyle name="Normal 5" xfId="17"/>
    <cellStyle name="Normal 6" xfId="18"/>
    <cellStyle name="Normal 6 2" xfId="19"/>
    <cellStyle name="Normal 7" xfId="20"/>
    <cellStyle name="Normal 8" xfId="21"/>
    <cellStyle name="Normal 9" xfId="22"/>
    <cellStyle name="Normal_Loan Amortization Analysis" xfId="1"/>
    <cellStyle name="Normal_Weekj one Capital Budgeting Investiment Analysis" xfId="29"/>
    <cellStyle name="Percent 2" xfId="2"/>
    <cellStyle name="Percent 3" xfId="23"/>
    <cellStyle name="Percent 4" xfId="31"/>
  </cellStyles>
  <dxfs count="0"/>
  <tableStyles count="0" defaultTableStyle="TableStyleMedium2" defaultPivotStyle="PivotStyleLight16"/>
  <colors>
    <mruColors>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13</xdr:row>
      <xdr:rowOff>0</xdr:rowOff>
    </xdr:from>
    <xdr:to>
      <xdr:col>2</xdr:col>
      <xdr:colOff>104775</xdr:colOff>
      <xdr:row>13</xdr:row>
      <xdr:rowOff>104775</xdr:rowOff>
    </xdr:to>
    <xdr:sp macro="" textlink="">
      <xdr:nvSpPr>
        <xdr:cNvPr id="11265" name="AutoShape 1" descr="*"/>
        <xdr:cNvSpPr>
          <a:spLocks noChangeAspect="1" noChangeArrowheads="1"/>
        </xdr:cNvSpPr>
      </xdr:nvSpPr>
      <xdr:spPr bwMode="auto">
        <a:xfrm>
          <a:off x="1914525" y="13601700"/>
          <a:ext cx="104775" cy="104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104775</xdr:colOff>
      <xdr:row>13</xdr:row>
      <xdr:rowOff>104775</xdr:rowOff>
    </xdr:to>
    <xdr:sp macro="" textlink="">
      <xdr:nvSpPr>
        <xdr:cNvPr id="11266" name="AutoShape 2" descr="*"/>
        <xdr:cNvSpPr>
          <a:spLocks noChangeAspect="1" noChangeArrowheads="1"/>
        </xdr:cNvSpPr>
      </xdr:nvSpPr>
      <xdr:spPr bwMode="auto">
        <a:xfrm>
          <a:off x="1914525" y="13763625"/>
          <a:ext cx="104775" cy="104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104775</xdr:colOff>
      <xdr:row>13</xdr:row>
      <xdr:rowOff>104775</xdr:rowOff>
    </xdr:to>
    <xdr:sp macro="" textlink="">
      <xdr:nvSpPr>
        <xdr:cNvPr id="11267" name="AutoShape 3" descr="*"/>
        <xdr:cNvSpPr>
          <a:spLocks noChangeAspect="1" noChangeArrowheads="1"/>
        </xdr:cNvSpPr>
      </xdr:nvSpPr>
      <xdr:spPr bwMode="auto">
        <a:xfrm>
          <a:off x="1914525" y="13925550"/>
          <a:ext cx="104775" cy="104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104775</xdr:colOff>
      <xdr:row>13</xdr:row>
      <xdr:rowOff>104775</xdr:rowOff>
    </xdr:to>
    <xdr:sp macro="" textlink="">
      <xdr:nvSpPr>
        <xdr:cNvPr id="11268" name="AutoShape 4" descr="*"/>
        <xdr:cNvSpPr>
          <a:spLocks noChangeAspect="1" noChangeArrowheads="1"/>
        </xdr:cNvSpPr>
      </xdr:nvSpPr>
      <xdr:spPr bwMode="auto">
        <a:xfrm>
          <a:off x="1914525" y="14411325"/>
          <a:ext cx="104775" cy="104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104775</xdr:colOff>
      <xdr:row>13</xdr:row>
      <xdr:rowOff>104775</xdr:rowOff>
    </xdr:to>
    <xdr:sp macro="" textlink="">
      <xdr:nvSpPr>
        <xdr:cNvPr id="11269" name="AutoShape 5" descr="*"/>
        <xdr:cNvSpPr>
          <a:spLocks noChangeAspect="1" noChangeArrowheads="1"/>
        </xdr:cNvSpPr>
      </xdr:nvSpPr>
      <xdr:spPr bwMode="auto">
        <a:xfrm>
          <a:off x="1914525" y="14573250"/>
          <a:ext cx="104775" cy="104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104775</xdr:colOff>
      <xdr:row>13</xdr:row>
      <xdr:rowOff>104775</xdr:rowOff>
    </xdr:to>
    <xdr:sp macro="" textlink="">
      <xdr:nvSpPr>
        <xdr:cNvPr id="11270" name="AutoShape 6" descr="*"/>
        <xdr:cNvSpPr>
          <a:spLocks noChangeAspect="1" noChangeArrowheads="1"/>
        </xdr:cNvSpPr>
      </xdr:nvSpPr>
      <xdr:spPr bwMode="auto">
        <a:xfrm>
          <a:off x="1914525" y="14735175"/>
          <a:ext cx="104775" cy="104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21</xdr:row>
      <xdr:rowOff>0</xdr:rowOff>
    </xdr:from>
    <xdr:to>
      <xdr:col>1</xdr:col>
      <xdr:colOff>104775</xdr:colOff>
      <xdr:row>21</xdr:row>
      <xdr:rowOff>104775</xdr:rowOff>
    </xdr:to>
    <xdr:sp macro="" textlink="">
      <xdr:nvSpPr>
        <xdr:cNvPr id="11271" name="AutoShape 7" descr="*"/>
        <xdr:cNvSpPr>
          <a:spLocks noChangeAspect="1" noChangeArrowheads="1"/>
        </xdr:cNvSpPr>
      </xdr:nvSpPr>
      <xdr:spPr bwMode="auto">
        <a:xfrm>
          <a:off x="400050" y="3724275"/>
          <a:ext cx="104775" cy="104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22</xdr:row>
      <xdr:rowOff>0</xdr:rowOff>
    </xdr:from>
    <xdr:to>
      <xdr:col>1</xdr:col>
      <xdr:colOff>104775</xdr:colOff>
      <xdr:row>22</xdr:row>
      <xdr:rowOff>104775</xdr:rowOff>
    </xdr:to>
    <xdr:sp macro="" textlink="">
      <xdr:nvSpPr>
        <xdr:cNvPr id="11272" name="AutoShape 8" descr="*"/>
        <xdr:cNvSpPr>
          <a:spLocks noChangeAspect="1" noChangeArrowheads="1"/>
        </xdr:cNvSpPr>
      </xdr:nvSpPr>
      <xdr:spPr bwMode="auto">
        <a:xfrm>
          <a:off x="400050" y="3886200"/>
          <a:ext cx="104775" cy="104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xdr:row>
      <xdr:rowOff>0</xdr:rowOff>
    </xdr:from>
    <xdr:to>
      <xdr:col>1</xdr:col>
      <xdr:colOff>104775</xdr:colOff>
      <xdr:row>23</xdr:row>
      <xdr:rowOff>104775</xdr:rowOff>
    </xdr:to>
    <xdr:sp macro="" textlink="">
      <xdr:nvSpPr>
        <xdr:cNvPr id="11273" name="AutoShape 9" descr="*"/>
        <xdr:cNvSpPr>
          <a:spLocks noChangeAspect="1" noChangeArrowheads="1"/>
        </xdr:cNvSpPr>
      </xdr:nvSpPr>
      <xdr:spPr bwMode="auto">
        <a:xfrm>
          <a:off x="400050" y="4048125"/>
          <a:ext cx="104775" cy="104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26</xdr:row>
      <xdr:rowOff>0</xdr:rowOff>
    </xdr:from>
    <xdr:to>
      <xdr:col>1</xdr:col>
      <xdr:colOff>104775</xdr:colOff>
      <xdr:row>26</xdr:row>
      <xdr:rowOff>104775</xdr:rowOff>
    </xdr:to>
    <xdr:sp macro="" textlink="">
      <xdr:nvSpPr>
        <xdr:cNvPr id="11274" name="AutoShape 10" descr="*"/>
        <xdr:cNvSpPr>
          <a:spLocks noChangeAspect="1" noChangeArrowheads="1"/>
        </xdr:cNvSpPr>
      </xdr:nvSpPr>
      <xdr:spPr bwMode="auto">
        <a:xfrm>
          <a:off x="400050" y="4533900"/>
          <a:ext cx="104775" cy="104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27</xdr:row>
      <xdr:rowOff>0</xdr:rowOff>
    </xdr:from>
    <xdr:to>
      <xdr:col>1</xdr:col>
      <xdr:colOff>104775</xdr:colOff>
      <xdr:row>27</xdr:row>
      <xdr:rowOff>104775</xdr:rowOff>
    </xdr:to>
    <xdr:sp macro="" textlink="">
      <xdr:nvSpPr>
        <xdr:cNvPr id="11275" name="AutoShape 11" descr="*"/>
        <xdr:cNvSpPr>
          <a:spLocks noChangeAspect="1" noChangeArrowheads="1"/>
        </xdr:cNvSpPr>
      </xdr:nvSpPr>
      <xdr:spPr bwMode="auto">
        <a:xfrm>
          <a:off x="400050" y="4695825"/>
          <a:ext cx="104775" cy="104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28</xdr:row>
      <xdr:rowOff>0</xdr:rowOff>
    </xdr:from>
    <xdr:to>
      <xdr:col>1</xdr:col>
      <xdr:colOff>104775</xdr:colOff>
      <xdr:row>28</xdr:row>
      <xdr:rowOff>104775</xdr:rowOff>
    </xdr:to>
    <xdr:sp macro="" textlink="">
      <xdr:nvSpPr>
        <xdr:cNvPr id="11276" name="AutoShape 12" descr="*"/>
        <xdr:cNvSpPr>
          <a:spLocks noChangeAspect="1" noChangeArrowheads="1"/>
        </xdr:cNvSpPr>
      </xdr:nvSpPr>
      <xdr:spPr bwMode="auto">
        <a:xfrm>
          <a:off x="400050" y="4857750"/>
          <a:ext cx="104775" cy="104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11</xdr:row>
      <xdr:rowOff>19050</xdr:rowOff>
    </xdr:from>
    <xdr:to>
      <xdr:col>11</xdr:col>
      <xdr:colOff>777875</xdr:colOff>
      <xdr:row>44</xdr:row>
      <xdr:rowOff>133351</xdr:rowOff>
    </xdr:to>
    <xdr:sp macro="" textlink="">
      <xdr:nvSpPr>
        <xdr:cNvPr id="13" name="TextBox 12"/>
        <xdr:cNvSpPr txBox="1"/>
      </xdr:nvSpPr>
      <xdr:spPr>
        <a:xfrm>
          <a:off x="609600" y="2647950"/>
          <a:ext cx="9731375" cy="5457826"/>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internal rate of return is defined as the discount rate that equates the present value of the net cash flows from a project with the present value of the net investment.  (this is also referred to as the discounted cash flow (DCF) rate of return.  Its the discount rate that causes a project’s net present value to equal zero.  The internal rate of return for a capital expenditure project is identical to the yield to maturity for a bond investment. </a:t>
          </a:r>
        </a:p>
        <a:p>
          <a:r>
            <a:rPr lang="en-US" sz="1100"/>
            <a:t> </a:t>
          </a:r>
        </a:p>
        <a:p>
          <a:r>
            <a:rPr lang="en-US" sz="1100"/>
            <a:t>Decision Rule –  Generally the internal rate of return indicates that a project whose internal rate of return is greater than or equal to the coloration’s cost of capital should be accepted.  Whereas a project whose internal rate of return is less than the corporation’s cost of capital should be rejected.</a:t>
          </a:r>
        </a:p>
        <a:p>
          <a:r>
            <a:rPr lang="en-US" sz="1100"/>
            <a:t> </a:t>
          </a:r>
        </a:p>
        <a:p>
          <a:r>
            <a:rPr lang="en-US" sz="1100"/>
            <a:t>In a recent study of 100 of the largest Fortune 500 Industrial Firm Listing, 99 percent used the IRR.  Like the NPV method IRR takes into account both the magnitude and timing of the cash flows over the life of the project.  However there are potential problems.  The possible existence of multiple internal rates of return.  Whereas equating the net present value of a project to zero will yield only one internal rate of return, for normal investments.  </a:t>
          </a:r>
        </a:p>
        <a:p>
          <a:r>
            <a:rPr lang="en-US" sz="1100"/>
            <a:t> </a:t>
          </a:r>
        </a:p>
        <a:p>
          <a:r>
            <a:rPr lang="en-US" sz="1100"/>
            <a:t>IRR assumes an initial cash outlay or outlays (initial investment) followed by a stream of positive net cash flows.  Multiple rates can occur in case of large abandonment cost at the end of the life of the project or major shut down and rebuilding during the life of the project.  If the investment were to experience a series of positive cash flows then a series of negative cash flows, it is possible to obtain more than one internal rate of return. </a:t>
          </a:r>
        </a:p>
        <a:p>
          <a:pPr marL="0" marR="0">
            <a:spcBef>
              <a:spcPts val="0"/>
            </a:spcBef>
            <a:spcAft>
              <a:spcPts val="0"/>
            </a:spcAft>
          </a:pPr>
          <a:endParaRPr lang="en-US" sz="1100" b="1" kern="0">
            <a:effectLst/>
            <a:latin typeface="Arial"/>
          </a:endParaRPr>
        </a:p>
        <a:p>
          <a:pPr marL="0" marR="0">
            <a:spcBef>
              <a:spcPts val="0"/>
            </a:spcBef>
            <a:spcAft>
              <a:spcPts val="0"/>
            </a:spcAft>
          </a:pPr>
          <a:r>
            <a:rPr lang="en-US" sz="1100" b="1" kern="0">
              <a:effectLst/>
              <a:latin typeface="Arial"/>
            </a:rPr>
            <a:t>NPV - </a:t>
          </a:r>
          <a:r>
            <a:rPr lang="en-US" sz="1100" b="0" kern="0">
              <a:effectLst/>
              <a:latin typeface="Arial"/>
            </a:rPr>
            <a:t>Net Present Value</a:t>
          </a:r>
          <a:endParaRPr lang="en-US" sz="1400" b="1" kern="0">
            <a:effectLst/>
            <a:latin typeface="Times New Roman"/>
          </a:endParaRPr>
        </a:p>
        <a:p>
          <a:pPr marL="0" marR="0">
            <a:spcBef>
              <a:spcPts val="0"/>
            </a:spcBef>
            <a:spcAft>
              <a:spcPts val="0"/>
            </a:spcAft>
          </a:pPr>
          <a:r>
            <a:rPr lang="en-US" sz="1100">
              <a:effectLst/>
              <a:latin typeface="Arial"/>
              <a:ea typeface="Times New Roman"/>
            </a:rPr>
            <a:t> </a:t>
          </a:r>
          <a:endParaRPr lang="en-US" sz="1600">
            <a:effectLst/>
            <a:latin typeface="Times New Roman"/>
            <a:ea typeface="Times New Roman"/>
          </a:endParaRPr>
        </a:p>
        <a:p>
          <a:pPr marL="0" marR="0">
            <a:spcBef>
              <a:spcPts val="0"/>
            </a:spcBef>
            <a:spcAft>
              <a:spcPts val="0"/>
            </a:spcAft>
          </a:pPr>
          <a:r>
            <a:rPr lang="en-US" sz="1100">
              <a:effectLst/>
              <a:latin typeface="Arial"/>
              <a:ea typeface="Times New Roman"/>
            </a:rPr>
            <a:t>The net present value (NPV) of a capital expenditure project is defined as the present value of the stream of the net (operating) cash flows from the project minus the projects net investment.  This is also sometimes refered to as the discounted cash flow (DCF) technique.  The cash flows are discounted at the corporation’s required rate of return; that is, its cost of capital.  A corporation’s cost of capital is defined as the minimum acceptable rate of return for projects of average risk.  In cases where this information is not known directly, industry standard data is easily attainable from a host of financial sources, such as Hoovers, and D&amp;B. </a:t>
          </a:r>
          <a:endParaRPr lang="en-US" sz="1600">
            <a:effectLst/>
            <a:latin typeface="Times New Roman"/>
            <a:ea typeface="Times New Roman"/>
          </a:endParaRPr>
        </a:p>
        <a:p>
          <a:pPr marL="0" marR="0">
            <a:spcBef>
              <a:spcPts val="0"/>
            </a:spcBef>
            <a:spcAft>
              <a:spcPts val="0"/>
            </a:spcAft>
          </a:pPr>
          <a:r>
            <a:rPr lang="en-US" sz="1100">
              <a:effectLst/>
              <a:latin typeface="Arial"/>
              <a:ea typeface="Times New Roman"/>
            </a:rPr>
            <a:t> </a:t>
          </a:r>
          <a:endParaRPr lang="en-US" sz="1600">
            <a:effectLst/>
            <a:latin typeface="Times New Roman"/>
            <a:ea typeface="Times New Roman"/>
          </a:endParaRPr>
        </a:p>
        <a:p>
          <a:pPr marL="0" marR="0">
            <a:spcBef>
              <a:spcPts val="0"/>
            </a:spcBef>
            <a:spcAft>
              <a:spcPts val="0"/>
            </a:spcAft>
          </a:pPr>
          <a:r>
            <a:rPr lang="en-US" sz="1100">
              <a:effectLst/>
              <a:latin typeface="Arial"/>
              <a:ea typeface="Times New Roman"/>
            </a:rPr>
            <a:t>So therefore the net present value of a project can be express as:</a:t>
          </a:r>
          <a:endParaRPr lang="en-US" sz="1600">
            <a:effectLst/>
            <a:latin typeface="Times New Roman"/>
            <a:ea typeface="Times New Roman"/>
          </a:endParaRPr>
        </a:p>
        <a:p>
          <a:pPr marL="0" marR="0">
            <a:spcBef>
              <a:spcPts val="0"/>
            </a:spcBef>
            <a:spcAft>
              <a:spcPts val="0"/>
            </a:spcAft>
          </a:pPr>
          <a:r>
            <a:rPr lang="en-US" sz="1100">
              <a:effectLst/>
              <a:latin typeface="Arial"/>
              <a:ea typeface="Times New Roman"/>
            </a:rPr>
            <a:t> </a:t>
          </a:r>
          <a:endParaRPr lang="en-US" sz="1600">
            <a:effectLst/>
            <a:latin typeface="Times New Roman"/>
            <a:ea typeface="Times New Roman"/>
          </a:endParaRPr>
        </a:p>
        <a:p>
          <a:pPr marL="0" marR="0">
            <a:spcBef>
              <a:spcPts val="0"/>
            </a:spcBef>
            <a:spcAft>
              <a:spcPts val="0"/>
            </a:spcAft>
          </a:pPr>
          <a:r>
            <a:rPr lang="en-US" sz="1100">
              <a:effectLst/>
              <a:latin typeface="Arial"/>
              <a:ea typeface="Times New Roman"/>
            </a:rPr>
            <a:t>	NPV=PVNCF – NINV</a:t>
          </a:r>
          <a:endParaRPr lang="en-US" sz="1600">
            <a:effectLst/>
            <a:latin typeface="Times New Roman"/>
            <a:ea typeface="Times New Roman"/>
          </a:endParaRPr>
        </a:p>
        <a:p>
          <a:pPr marL="0" marR="0">
            <a:spcBef>
              <a:spcPts val="0"/>
            </a:spcBef>
            <a:spcAft>
              <a:spcPts val="0"/>
            </a:spcAft>
          </a:pPr>
          <a:r>
            <a:rPr lang="en-US" sz="1100">
              <a:effectLst/>
              <a:latin typeface="Arial"/>
              <a:ea typeface="Times New Roman"/>
            </a:rPr>
            <a:t> </a:t>
          </a:r>
          <a:endParaRPr lang="en-US" sz="1600">
            <a:effectLst/>
            <a:latin typeface="Times New Roman"/>
            <a:ea typeface="Times New Roman"/>
          </a:endParaRPr>
        </a:p>
        <a:p>
          <a:pPr marL="0" marR="0">
            <a:spcBef>
              <a:spcPts val="0"/>
            </a:spcBef>
            <a:spcAft>
              <a:spcPts val="0"/>
            </a:spcAft>
          </a:pPr>
          <a:r>
            <a:rPr lang="en-US" sz="1100">
              <a:effectLst/>
              <a:latin typeface="Arial"/>
              <a:ea typeface="Times New Roman"/>
            </a:rPr>
            <a:t>Therefore, NPV is the net present value; PVNCF, the present value of net (operating) cash flows; and NINV, the net investment.</a:t>
          </a:r>
          <a:endParaRPr lang="en-US" sz="1600">
            <a:effectLst/>
            <a:latin typeface="Times New Roman"/>
            <a:ea typeface="Times New Roman"/>
          </a:endParaRPr>
        </a:p>
        <a:p>
          <a:pPr marL="0" marR="0">
            <a:spcBef>
              <a:spcPts val="0"/>
            </a:spcBef>
            <a:spcAft>
              <a:spcPts val="0"/>
            </a:spcAft>
          </a:pPr>
          <a:r>
            <a:rPr lang="en-US" sz="1100">
              <a:effectLst/>
              <a:latin typeface="Arial"/>
              <a:ea typeface="Times New Roman"/>
            </a:rPr>
            <a:t> </a:t>
          </a:r>
          <a:endParaRPr lang="en-US" sz="1600">
            <a:effectLst/>
            <a:latin typeface="Times New Roman"/>
            <a:ea typeface="Times New Roman"/>
          </a:endParaRPr>
        </a:p>
        <a:p>
          <a:pPr marL="0" marR="0">
            <a:spcBef>
              <a:spcPts val="0"/>
            </a:spcBef>
            <a:spcAft>
              <a:spcPts val="0"/>
            </a:spcAft>
          </a:pPr>
          <a:r>
            <a:rPr lang="en-US" sz="1100" b="1">
              <a:effectLst/>
              <a:latin typeface="Arial"/>
              <a:ea typeface="Times New Roman"/>
            </a:rPr>
            <a:t>Decision Rule </a:t>
          </a:r>
          <a:r>
            <a:rPr lang="en-US" sz="1100">
              <a:effectLst/>
              <a:latin typeface="Arial"/>
              <a:ea typeface="Times New Roman"/>
            </a:rPr>
            <a:t>– In general, a project should be accepted if its net present value is greater than zero.  This because a positive net present value, in principal, translates directly into increases in stock prices and increases in Shareholders’ wealth.</a:t>
          </a:r>
          <a:endParaRPr lang="en-US" sz="1600">
            <a:effectLst/>
            <a:latin typeface="Times New Roman"/>
            <a:ea typeface="Times New Roman"/>
          </a:endParaRPr>
        </a:p>
        <a:p>
          <a:pPr marL="0" marR="0">
            <a:spcBef>
              <a:spcPts val="0"/>
            </a:spcBef>
            <a:spcAft>
              <a:spcPts val="0"/>
            </a:spcAft>
          </a:pPr>
          <a:r>
            <a:rPr lang="en-US" sz="1100">
              <a:effectLst/>
              <a:latin typeface="Arial"/>
              <a:ea typeface="Times New Roman"/>
            </a:rPr>
            <a:t> </a:t>
          </a:r>
          <a:endParaRPr lang="en-US" sz="1600">
            <a:effectLst/>
            <a:latin typeface="Times New Roman"/>
            <a:ea typeface="Times New Roman"/>
          </a:endParaRPr>
        </a:p>
        <a:p>
          <a:pPr marL="0" marR="0">
            <a:spcBef>
              <a:spcPts val="0"/>
            </a:spcBef>
            <a:spcAft>
              <a:spcPts val="0"/>
            </a:spcAft>
          </a:pPr>
          <a:r>
            <a:rPr lang="en-US" sz="1100">
              <a:effectLst/>
              <a:latin typeface="Arial"/>
              <a:ea typeface="Times New Roman"/>
            </a:rPr>
            <a:t> </a:t>
          </a:r>
          <a:endParaRPr lang="en-US" sz="1600">
            <a:effectLst/>
            <a:latin typeface="Times New Roman"/>
            <a:ea typeface="Times New Roman"/>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ptn_000\AppData\Local\Microsoft\Windows\INetCache\Content.Outlook\APIOAMQE\Test%20IR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ing Variable Hr."/>
      <sheetName val="Test IRR"/>
    </sheetNames>
    <definedNames>
      <definedName name="Loan_Start" refersTo="#REF!"/>
    </definedNames>
    <sheetDataSet>
      <sheetData sheetId="0">
        <row r="57">
          <cell r="M57">
            <v>5.4866022140630077E-2</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85"/>
  <sheetViews>
    <sheetView tabSelected="1" topLeftCell="A22" zoomScale="90" zoomScaleNormal="100" workbookViewId="0">
      <selection activeCell="G21" sqref="G21"/>
    </sheetView>
  </sheetViews>
  <sheetFormatPr defaultRowHeight="15.75"/>
  <cols>
    <col min="1" max="1" width="3.85546875" style="140" customWidth="1"/>
    <col min="2" max="2" width="65.7109375" style="141" customWidth="1"/>
    <col min="3" max="3" width="31.5703125" style="141" customWidth="1"/>
    <col min="4" max="4" width="5.7109375" style="247" customWidth="1"/>
    <col min="5" max="5" width="39.42578125" style="141" customWidth="1"/>
    <col min="6" max="6" width="14.140625" style="141" customWidth="1"/>
    <col min="7" max="7" width="19.5703125" style="141" customWidth="1"/>
    <col min="8" max="8" width="15.28515625" style="141" customWidth="1"/>
    <col min="9" max="9" width="19.85546875" style="141" customWidth="1"/>
    <col min="10" max="10" width="22.140625" style="141" customWidth="1"/>
    <col min="11" max="11" width="19.5703125" style="141" customWidth="1"/>
    <col min="12" max="12" width="16.85546875" style="141" customWidth="1"/>
    <col min="13" max="13" width="10" style="141" customWidth="1"/>
    <col min="14" max="14" width="12.7109375" style="141" bestFit="1" customWidth="1"/>
    <col min="15" max="15" width="12.140625" style="141" customWidth="1"/>
    <col min="16" max="16384" width="9.140625" style="141"/>
  </cols>
  <sheetData>
    <row r="1" spans="1:10" s="139" customFormat="1" ht="16.5" thickBot="1">
      <c r="A1" s="138" t="s">
        <v>51</v>
      </c>
      <c r="B1" s="139" t="s">
        <v>52</v>
      </c>
      <c r="C1" s="139" t="s">
        <v>53</v>
      </c>
      <c r="D1" s="138" t="s">
        <v>54</v>
      </c>
      <c r="E1" s="139" t="s">
        <v>55</v>
      </c>
      <c r="F1" s="139" t="s">
        <v>56</v>
      </c>
      <c r="G1" s="139" t="s">
        <v>57</v>
      </c>
      <c r="H1" s="139" t="s">
        <v>59</v>
      </c>
      <c r="I1" s="139" t="s">
        <v>58</v>
      </c>
      <c r="J1" s="139" t="s">
        <v>60</v>
      </c>
    </row>
    <row r="2" spans="1:10" ht="16.5" thickBot="1">
      <c r="A2" s="140">
        <v>2</v>
      </c>
      <c r="B2" s="345" t="s">
        <v>159</v>
      </c>
      <c r="C2" s="346"/>
      <c r="D2" s="140">
        <v>2</v>
      </c>
      <c r="E2" s="351" t="s">
        <v>124</v>
      </c>
      <c r="F2" s="352"/>
      <c r="G2" s="352"/>
      <c r="H2" s="352"/>
      <c r="I2" s="352"/>
      <c r="J2" s="353"/>
    </row>
    <row r="3" spans="1:10" ht="27" customHeight="1">
      <c r="A3" s="140">
        <f>SUM(A2+1)</f>
        <v>3</v>
      </c>
      <c r="B3" s="347" t="s">
        <v>116</v>
      </c>
      <c r="C3" s="348"/>
      <c r="D3" s="140">
        <f t="shared" ref="D3:D54" si="0">SUM(D2+1)</f>
        <v>3</v>
      </c>
      <c r="E3" s="142"/>
      <c r="F3" s="143"/>
      <c r="G3" s="143"/>
      <c r="H3" s="143"/>
      <c r="I3" s="143"/>
      <c r="J3" s="144"/>
    </row>
    <row r="4" spans="1:10" ht="15.75" customHeight="1">
      <c r="A4" s="140">
        <f t="shared" ref="A4:A6" si="1">SUM(A3+1)</f>
        <v>4</v>
      </c>
      <c r="B4" s="349"/>
      <c r="C4" s="350"/>
      <c r="D4" s="140">
        <f t="shared" si="0"/>
        <v>4</v>
      </c>
      <c r="E4" s="142"/>
      <c r="F4" s="143"/>
      <c r="G4" s="143" t="s">
        <v>0</v>
      </c>
      <c r="H4" s="143"/>
      <c r="I4" s="143"/>
      <c r="J4" s="144"/>
    </row>
    <row r="5" spans="1:10" ht="15.75" customHeight="1">
      <c r="A5" s="140">
        <f t="shared" si="1"/>
        <v>5</v>
      </c>
      <c r="B5" s="349"/>
      <c r="C5" s="350"/>
      <c r="D5" s="140">
        <f t="shared" si="0"/>
        <v>5</v>
      </c>
      <c r="E5" s="142"/>
      <c r="F5" s="143"/>
      <c r="G5" s="143"/>
      <c r="H5" s="143"/>
      <c r="I5" s="143"/>
      <c r="J5" s="144"/>
    </row>
    <row r="6" spans="1:10" ht="23.25" customHeight="1">
      <c r="A6" s="140">
        <f t="shared" si="1"/>
        <v>6</v>
      </c>
      <c r="B6" s="349"/>
      <c r="C6" s="350"/>
      <c r="D6" s="140">
        <f t="shared" si="0"/>
        <v>6</v>
      </c>
      <c r="E6" s="142"/>
      <c r="F6" s="145"/>
      <c r="G6" s="146"/>
      <c r="H6" s="145"/>
      <c r="I6" s="145"/>
      <c r="J6" s="144"/>
    </row>
    <row r="7" spans="1:10">
      <c r="A7" s="140">
        <f t="shared" ref="A7:A26" si="2">SUM(A6+1)</f>
        <v>7</v>
      </c>
      <c r="B7" s="341" t="s">
        <v>156</v>
      </c>
      <c r="C7" s="342"/>
      <c r="D7" s="140">
        <f t="shared" si="0"/>
        <v>7</v>
      </c>
      <c r="E7" s="341" t="str">
        <f>B7</f>
        <v>PROJECT NAME - PNP-1</v>
      </c>
      <c r="F7" s="355"/>
      <c r="G7" s="355"/>
      <c r="H7" s="355"/>
      <c r="I7" s="355"/>
      <c r="J7" s="342"/>
    </row>
    <row r="8" spans="1:10" ht="16.5" thickBot="1">
      <c r="A8" s="140">
        <f t="shared" si="2"/>
        <v>8</v>
      </c>
      <c r="B8" s="343" t="s">
        <v>157</v>
      </c>
      <c r="C8" s="344"/>
      <c r="D8" s="140">
        <f t="shared" si="0"/>
        <v>8</v>
      </c>
      <c r="E8" s="343" t="str">
        <f>B8</f>
        <v>MANILA, PHILIPPINES</v>
      </c>
      <c r="F8" s="354"/>
      <c r="G8" s="354"/>
      <c r="H8" s="354"/>
      <c r="I8" s="354"/>
      <c r="J8" s="344"/>
    </row>
    <row r="9" spans="1:10" ht="16.5" thickBot="1">
      <c r="A9" s="140">
        <f t="shared" si="2"/>
        <v>9</v>
      </c>
      <c r="B9" s="147"/>
      <c r="C9" s="147"/>
      <c r="D9" s="140">
        <f t="shared" si="0"/>
        <v>9</v>
      </c>
      <c r="F9" s="148"/>
      <c r="G9" s="148"/>
      <c r="H9" s="143"/>
      <c r="I9" s="143"/>
      <c r="J9" s="143"/>
    </row>
    <row r="10" spans="1:10" ht="17.100000000000001" customHeight="1" thickBot="1">
      <c r="A10" s="140">
        <f t="shared" si="2"/>
        <v>10</v>
      </c>
      <c r="B10" s="149" t="s">
        <v>109</v>
      </c>
      <c r="C10" s="150"/>
      <c r="D10" s="140">
        <f t="shared" si="0"/>
        <v>10</v>
      </c>
      <c r="E10" s="326" t="s">
        <v>14</v>
      </c>
      <c r="F10" s="151"/>
      <c r="G10" s="151"/>
      <c r="H10" s="151"/>
      <c r="I10" s="151"/>
      <c r="J10" s="152"/>
    </row>
    <row r="11" spans="1:10" ht="17.100000000000001" customHeight="1">
      <c r="A11" s="140">
        <f t="shared" si="2"/>
        <v>11</v>
      </c>
      <c r="B11" s="153" t="s">
        <v>132</v>
      </c>
      <c r="C11" s="154">
        <f>G17</f>
        <v>956200000</v>
      </c>
      <c r="D11" s="140">
        <f t="shared" si="0"/>
        <v>11</v>
      </c>
      <c r="E11" s="157" t="s">
        <v>17</v>
      </c>
      <c r="F11" s="158" t="s">
        <v>3</v>
      </c>
      <c r="G11" s="158" t="s">
        <v>2</v>
      </c>
      <c r="H11" s="158" t="s">
        <v>9</v>
      </c>
      <c r="I11" s="159" t="s">
        <v>10</v>
      </c>
      <c r="J11" s="160" t="s">
        <v>19</v>
      </c>
    </row>
    <row r="12" spans="1:10" ht="17.100000000000001" customHeight="1" thickBot="1">
      <c r="A12" s="140">
        <f t="shared" si="2"/>
        <v>12</v>
      </c>
      <c r="B12" s="155" t="s">
        <v>1</v>
      </c>
      <c r="C12" s="156">
        <f>F12</f>
        <v>200</v>
      </c>
      <c r="D12" s="140">
        <f t="shared" si="0"/>
        <v>12</v>
      </c>
      <c r="E12" s="287">
        <v>0.17</v>
      </c>
      <c r="F12" s="334">
        <v>200</v>
      </c>
      <c r="G12" s="163">
        <f>F12*1000</f>
        <v>200000</v>
      </c>
      <c r="H12" s="162">
        <v>24</v>
      </c>
      <c r="I12" s="164">
        <f>G12*H12*365</f>
        <v>1752000000</v>
      </c>
      <c r="J12" s="165">
        <f>I12*E12</f>
        <v>297840000</v>
      </c>
    </row>
    <row r="13" spans="1:10" ht="17.100000000000001" customHeight="1" thickBot="1">
      <c r="A13" s="140">
        <f t="shared" si="2"/>
        <v>13</v>
      </c>
      <c r="B13" s="161" t="s">
        <v>145</v>
      </c>
      <c r="C13" s="209">
        <f>F13</f>
        <v>4781000</v>
      </c>
      <c r="D13" s="140">
        <f t="shared" si="0"/>
        <v>13</v>
      </c>
      <c r="E13" s="161" t="s">
        <v>145</v>
      </c>
      <c r="F13" s="289">
        <f>SUM(G17/F12)</f>
        <v>4781000</v>
      </c>
      <c r="G13" s="288"/>
      <c r="H13" s="288"/>
      <c r="I13" s="288"/>
      <c r="J13" s="220"/>
    </row>
    <row r="14" spans="1:10" ht="17.100000000000001" customHeight="1" thickBot="1">
      <c r="A14" s="140">
        <f t="shared" si="2"/>
        <v>14</v>
      </c>
      <c r="B14" s="166"/>
      <c r="C14" s="167"/>
      <c r="D14" s="140">
        <f t="shared" si="0"/>
        <v>14</v>
      </c>
      <c r="E14" s="296"/>
      <c r="F14" s="297"/>
      <c r="G14" s="143"/>
      <c r="H14" s="143"/>
      <c r="I14" s="143"/>
      <c r="J14" s="143"/>
    </row>
    <row r="15" spans="1:10" ht="17.100000000000001" customHeight="1">
      <c r="A15" s="140">
        <f t="shared" si="2"/>
        <v>15</v>
      </c>
      <c r="B15" s="168" t="s">
        <v>4</v>
      </c>
      <c r="C15" s="169"/>
      <c r="D15" s="140">
        <f t="shared" si="0"/>
        <v>15</v>
      </c>
      <c r="E15" s="240" t="s">
        <v>148</v>
      </c>
      <c r="F15" s="241"/>
      <c r="G15" s="242"/>
      <c r="I15" s="240" t="s">
        <v>149</v>
      </c>
      <c r="J15" s="259"/>
    </row>
    <row r="16" spans="1:10" ht="17.100000000000001" customHeight="1">
      <c r="A16" s="140">
        <f t="shared" si="2"/>
        <v>16</v>
      </c>
      <c r="B16" s="171" t="s">
        <v>95</v>
      </c>
      <c r="C16" s="172">
        <f>J12</f>
        <v>297840000</v>
      </c>
      <c r="D16" s="140">
        <f t="shared" si="0"/>
        <v>16</v>
      </c>
      <c r="E16" s="257"/>
      <c r="F16" s="258" t="s">
        <v>86</v>
      </c>
      <c r="G16" s="269">
        <f>F13</f>
        <v>4781000</v>
      </c>
      <c r="I16" s="271" t="s">
        <v>118</v>
      </c>
      <c r="J16" s="272">
        <v>8.0000000000000004E-4</v>
      </c>
    </row>
    <row r="17" spans="1:10" ht="17.100000000000001" customHeight="1">
      <c r="A17" s="140">
        <f t="shared" si="2"/>
        <v>17</v>
      </c>
      <c r="B17" s="173" t="s">
        <v>151</v>
      </c>
      <c r="C17" s="174">
        <f>J16</f>
        <v>8.0000000000000004E-4</v>
      </c>
      <c r="D17" s="140">
        <f t="shared" si="0"/>
        <v>17</v>
      </c>
      <c r="E17" s="257"/>
      <c r="F17" s="258" t="s">
        <v>24</v>
      </c>
      <c r="G17" s="285">
        <v>956200000</v>
      </c>
      <c r="I17" s="268" t="s">
        <v>118</v>
      </c>
      <c r="J17" s="276">
        <f>SUM(J16*G19)</f>
        <v>0.02</v>
      </c>
    </row>
    <row r="18" spans="1:10" ht="17.100000000000001" customHeight="1">
      <c r="A18" s="140">
        <f t="shared" si="2"/>
        <v>18</v>
      </c>
      <c r="B18" s="173" t="s">
        <v>110</v>
      </c>
      <c r="C18" s="175">
        <f>J18</f>
        <v>238272</v>
      </c>
      <c r="D18" s="140">
        <f t="shared" si="0"/>
        <v>18</v>
      </c>
      <c r="E18" s="252"/>
      <c r="F18" s="253" t="s">
        <v>26</v>
      </c>
      <c r="G18" s="273">
        <v>0.05</v>
      </c>
      <c r="H18" s="221"/>
      <c r="I18" s="274" t="s">
        <v>111</v>
      </c>
      <c r="J18" s="275">
        <f>SUM(C16*J16)</f>
        <v>238272</v>
      </c>
    </row>
    <row r="19" spans="1:10" ht="17.100000000000001" customHeight="1" thickBot="1">
      <c r="A19" s="140">
        <f t="shared" si="2"/>
        <v>19</v>
      </c>
      <c r="B19" s="279" t="s">
        <v>128</v>
      </c>
      <c r="C19" s="176">
        <f>J19</f>
        <v>5956800</v>
      </c>
      <c r="D19" s="140">
        <f t="shared" si="0"/>
        <v>19</v>
      </c>
      <c r="E19" s="252"/>
      <c r="F19" s="253" t="s">
        <v>119</v>
      </c>
      <c r="G19" s="286">
        <v>25</v>
      </c>
      <c r="H19" s="221"/>
      <c r="I19" s="268" t="s">
        <v>129</v>
      </c>
      <c r="J19" s="277">
        <f>J18*G19</f>
        <v>5956800</v>
      </c>
    </row>
    <row r="20" spans="1:10" ht="17.100000000000001" customHeight="1" thickBot="1">
      <c r="A20" s="140">
        <f t="shared" si="2"/>
        <v>20</v>
      </c>
      <c r="B20" s="177"/>
      <c r="C20" s="178"/>
      <c r="D20" s="140">
        <f t="shared" si="0"/>
        <v>20</v>
      </c>
      <c r="E20" s="252"/>
      <c r="F20" s="253" t="s">
        <v>112</v>
      </c>
      <c r="G20" s="286">
        <v>10</v>
      </c>
      <c r="H20" s="270"/>
      <c r="I20" s="268" t="s">
        <v>130</v>
      </c>
      <c r="J20" s="243">
        <f>C12*J16</f>
        <v>0.16</v>
      </c>
    </row>
    <row r="21" spans="1:10" ht="17.100000000000001" customHeight="1" thickBot="1">
      <c r="A21" s="140">
        <f t="shared" si="2"/>
        <v>21</v>
      </c>
      <c r="B21" s="168" t="s">
        <v>92</v>
      </c>
      <c r="C21" s="179"/>
      <c r="D21" s="140">
        <f t="shared" si="0"/>
        <v>21</v>
      </c>
      <c r="E21" s="266"/>
      <c r="F21" s="267" t="s">
        <v>113</v>
      </c>
      <c r="G21" s="286">
        <v>12</v>
      </c>
      <c r="H21" s="247"/>
      <c r="I21" s="260" t="s">
        <v>133</v>
      </c>
      <c r="J21" s="245">
        <f>C12*J17</f>
        <v>4</v>
      </c>
    </row>
    <row r="22" spans="1:10" ht="17.100000000000001" customHeight="1">
      <c r="A22" s="140">
        <f t="shared" si="2"/>
        <v>22</v>
      </c>
      <c r="B22" s="155" t="s">
        <v>102</v>
      </c>
      <c r="C22" s="182">
        <f t="shared" ref="C22:C27" si="3">G26</f>
        <v>14892000</v>
      </c>
      <c r="D22" s="140">
        <f t="shared" si="0"/>
        <v>22</v>
      </c>
      <c r="E22" s="252"/>
      <c r="F22" s="253" t="s">
        <v>114</v>
      </c>
      <c r="G22" s="244">
        <v>43101</v>
      </c>
      <c r="H22" s="221"/>
      <c r="I22" s="324"/>
      <c r="J22" s="325"/>
    </row>
    <row r="23" spans="1:10" ht="17.100000000000001" customHeight="1" thickBot="1">
      <c r="A23" s="140">
        <f t="shared" si="2"/>
        <v>23</v>
      </c>
      <c r="B23" s="155" t="s">
        <v>103</v>
      </c>
      <c r="C23" s="188">
        <f t="shared" si="3"/>
        <v>0</v>
      </c>
      <c r="D23" s="140">
        <f t="shared" si="0"/>
        <v>23</v>
      </c>
      <c r="E23" s="254"/>
      <c r="F23" s="255" t="s">
        <v>115</v>
      </c>
      <c r="G23" s="246"/>
      <c r="H23" s="221"/>
    </row>
    <row r="24" spans="1:10" ht="17.100000000000001" customHeight="1" thickBot="1">
      <c r="A24" s="140">
        <f t="shared" si="2"/>
        <v>24</v>
      </c>
      <c r="B24" s="155" t="s">
        <v>104</v>
      </c>
      <c r="C24" s="188">
        <f t="shared" si="3"/>
        <v>0</v>
      </c>
      <c r="D24" s="140">
        <f t="shared" si="0"/>
        <v>24</v>
      </c>
      <c r="E24" s="296"/>
      <c r="F24" s="297"/>
      <c r="G24" s="143"/>
      <c r="H24" s="143"/>
      <c r="I24" s="320" t="s">
        <v>4</v>
      </c>
      <c r="J24" s="321"/>
    </row>
    <row r="25" spans="1:10" ht="17.100000000000001" customHeight="1" thickBot="1">
      <c r="A25" s="140">
        <f t="shared" si="2"/>
        <v>25</v>
      </c>
      <c r="B25" s="189" t="s">
        <v>117</v>
      </c>
      <c r="C25" s="188">
        <f t="shared" si="3"/>
        <v>18200000</v>
      </c>
      <c r="D25" s="140">
        <f t="shared" si="0"/>
        <v>25</v>
      </c>
      <c r="E25" s="327" t="s">
        <v>150</v>
      </c>
      <c r="F25" s="180"/>
      <c r="G25" s="181"/>
      <c r="H25" s="170"/>
      <c r="I25" s="335" t="s">
        <v>121</v>
      </c>
      <c r="J25" s="336"/>
    </row>
    <row r="26" spans="1:10" ht="17.100000000000001" customHeight="1" thickBot="1">
      <c r="A26" s="140">
        <f t="shared" si="2"/>
        <v>26</v>
      </c>
      <c r="B26" s="189" t="s">
        <v>123</v>
      </c>
      <c r="C26" s="188">
        <f t="shared" si="3"/>
        <v>0</v>
      </c>
      <c r="D26" s="140">
        <f t="shared" si="0"/>
        <v>26</v>
      </c>
      <c r="E26" s="183" t="s">
        <v>102</v>
      </c>
      <c r="F26" s="333">
        <v>0.05</v>
      </c>
      <c r="G26" s="184">
        <f>J12*F26</f>
        <v>14892000</v>
      </c>
      <c r="H26" s="170"/>
      <c r="I26" s="323"/>
      <c r="J26" s="323"/>
    </row>
    <row r="27" spans="1:10" ht="17.100000000000001" customHeight="1" thickBot="1">
      <c r="A27" s="140">
        <v>27</v>
      </c>
      <c r="B27" s="190" t="s">
        <v>105</v>
      </c>
      <c r="C27" s="191">
        <f t="shared" si="3"/>
        <v>33092000</v>
      </c>
      <c r="D27" s="140">
        <f t="shared" si="0"/>
        <v>27</v>
      </c>
      <c r="E27" s="183" t="s">
        <v>103</v>
      </c>
      <c r="F27" s="185"/>
      <c r="G27" s="186"/>
      <c r="H27" s="170"/>
      <c r="I27" s="328" t="s">
        <v>12</v>
      </c>
      <c r="J27" s="197"/>
    </row>
    <row r="28" spans="1:10" ht="17.100000000000001" customHeight="1" thickBot="1">
      <c r="A28" s="140">
        <v>28</v>
      </c>
      <c r="B28" s="195"/>
      <c r="C28" s="196"/>
      <c r="D28" s="140">
        <f t="shared" si="0"/>
        <v>28</v>
      </c>
      <c r="E28" s="183" t="s">
        <v>104</v>
      </c>
      <c r="F28" s="185"/>
      <c r="G28" s="186"/>
      <c r="H28" s="170"/>
      <c r="I28" s="337" t="s">
        <v>121</v>
      </c>
      <c r="J28" s="338"/>
    </row>
    <row r="29" spans="1:10" ht="17.100000000000001" customHeight="1" thickBot="1">
      <c r="A29" s="140">
        <v>29</v>
      </c>
      <c r="B29" s="168" t="s">
        <v>12</v>
      </c>
      <c r="C29" s="197"/>
      <c r="D29" s="140">
        <f t="shared" si="0"/>
        <v>29</v>
      </c>
      <c r="E29" s="183" t="s">
        <v>117</v>
      </c>
      <c r="F29" s="185"/>
      <c r="G29" s="186">
        <v>18200000</v>
      </c>
      <c r="H29" s="170"/>
    </row>
    <row r="30" spans="1:10" ht="17.100000000000001" customHeight="1" thickBot="1">
      <c r="A30" s="140">
        <v>30</v>
      </c>
      <c r="B30" s="198" t="s">
        <v>96</v>
      </c>
      <c r="C30" s="176">
        <f>C16-C27</f>
        <v>264748000</v>
      </c>
      <c r="D30" s="140">
        <f t="shared" si="0"/>
        <v>30</v>
      </c>
      <c r="E30" s="183" t="s">
        <v>123</v>
      </c>
      <c r="F30" s="185"/>
      <c r="G30" s="184">
        <f>F50</f>
        <v>0</v>
      </c>
      <c r="H30" s="170"/>
      <c r="I30" s="305" t="s">
        <v>20</v>
      </c>
      <c r="J30" s="306"/>
    </row>
    <row r="31" spans="1:10" ht="17.100000000000001" customHeight="1" thickBot="1">
      <c r="A31" s="140">
        <v>31</v>
      </c>
      <c r="B31" s="177"/>
      <c r="C31" s="167"/>
      <c r="D31" s="140">
        <f>SUM(D30+1)</f>
        <v>31</v>
      </c>
      <c r="E31" s="192" t="s">
        <v>105</v>
      </c>
      <c r="F31" s="193"/>
      <c r="G31" s="194">
        <f>SUM(G26:G30)</f>
        <v>33092000</v>
      </c>
      <c r="H31" s="170"/>
      <c r="I31" s="339" t="s">
        <v>121</v>
      </c>
      <c r="J31" s="340"/>
    </row>
    <row r="32" spans="1:10" ht="17.100000000000001" customHeight="1">
      <c r="A32" s="140">
        <v>32</v>
      </c>
      <c r="B32" s="199" t="s">
        <v>131</v>
      </c>
      <c r="C32" s="200"/>
      <c r="D32" s="140">
        <f t="shared" si="0"/>
        <v>32</v>
      </c>
      <c r="H32" s="143"/>
      <c r="I32" s="322"/>
      <c r="J32" s="322"/>
    </row>
    <row r="33" spans="1:15" ht="17.100000000000001" customHeight="1" thickBot="1">
      <c r="A33" s="140">
        <v>33</v>
      </c>
      <c r="B33" s="171" t="s">
        <v>79</v>
      </c>
      <c r="C33" s="203">
        <f>H35</f>
        <v>121703814.80592446</v>
      </c>
      <c r="D33" s="140">
        <f t="shared" si="0"/>
        <v>33</v>
      </c>
      <c r="H33" s="187"/>
      <c r="I33" s="143"/>
      <c r="J33" s="187"/>
    </row>
    <row r="34" spans="1:15" ht="17.100000000000001" customHeight="1">
      <c r="A34" s="140">
        <v>34</v>
      </c>
      <c r="B34" s="171" t="s">
        <v>140</v>
      </c>
      <c r="C34" s="205">
        <f>H36</f>
        <v>143044185.19407552</v>
      </c>
      <c r="D34" s="140">
        <f t="shared" si="0"/>
        <v>34</v>
      </c>
      <c r="E34" s="366" t="s">
        <v>131</v>
      </c>
      <c r="F34" s="367"/>
      <c r="G34" s="367"/>
      <c r="H34" s="201"/>
      <c r="I34" s="265" t="s">
        <v>84</v>
      </c>
      <c r="J34" s="202"/>
    </row>
    <row r="35" spans="1:15" ht="17.100000000000001" customHeight="1">
      <c r="A35" s="140">
        <v>35</v>
      </c>
      <c r="B35" s="171" t="s">
        <v>87</v>
      </c>
      <c r="C35" s="205">
        <f>H37</f>
        <v>264748000</v>
      </c>
      <c r="D35" s="140">
        <f t="shared" si="0"/>
        <v>35</v>
      </c>
      <c r="E35" s="368" t="s">
        <v>79</v>
      </c>
      <c r="F35" s="369"/>
      <c r="G35" s="369"/>
      <c r="H35" s="256">
        <f>'Loan Amortization Schedule'!M28</f>
        <v>121703814.80592446</v>
      </c>
      <c r="I35" s="204"/>
      <c r="J35" s="204"/>
    </row>
    <row r="36" spans="1:15" ht="17.100000000000001" customHeight="1" thickBot="1">
      <c r="A36" s="140">
        <v>36</v>
      </c>
      <c r="B36" s="278" t="s">
        <v>126</v>
      </c>
      <c r="C36" s="209">
        <f>J38</f>
        <v>5401661851.9407558</v>
      </c>
      <c r="D36" s="140">
        <f t="shared" si="0"/>
        <v>36</v>
      </c>
      <c r="E36" s="363" t="s">
        <v>140</v>
      </c>
      <c r="F36" s="364"/>
      <c r="G36" s="365"/>
      <c r="H36" s="250">
        <f>C30-C33</f>
        <v>143044185.19407552</v>
      </c>
      <c r="I36" s="206">
        <f>G20</f>
        <v>10</v>
      </c>
      <c r="J36" s="207">
        <f>H36*I36</f>
        <v>1430441851.9407554</v>
      </c>
    </row>
    <row r="37" spans="1:15" ht="17.100000000000001" customHeight="1" thickBot="1">
      <c r="A37" s="140">
        <v>37</v>
      </c>
      <c r="B37" s="177"/>
      <c r="C37" s="210"/>
      <c r="D37" s="140">
        <f t="shared" si="0"/>
        <v>37</v>
      </c>
      <c r="E37" s="360" t="s">
        <v>87</v>
      </c>
      <c r="F37" s="361"/>
      <c r="G37" s="362"/>
      <c r="H37" s="317">
        <f>C30</f>
        <v>264748000</v>
      </c>
      <c r="I37" s="318">
        <f>C46-I36</f>
        <v>15</v>
      </c>
      <c r="J37" s="319">
        <f>H37*I37</f>
        <v>3971220000</v>
      </c>
    </row>
    <row r="38" spans="1:15" ht="17.100000000000001" customHeight="1" thickBot="1">
      <c r="A38" s="140">
        <v>38</v>
      </c>
      <c r="B38" s="168" t="s">
        <v>13</v>
      </c>
      <c r="C38" s="212"/>
      <c r="D38" s="140">
        <f t="shared" si="0"/>
        <v>38</v>
      </c>
      <c r="E38" s="357" t="s">
        <v>127</v>
      </c>
      <c r="F38" s="358"/>
      <c r="G38" s="359"/>
      <c r="H38" s="262"/>
      <c r="I38" s="263">
        <f>SUM(I36:I37)</f>
        <v>25</v>
      </c>
      <c r="J38" s="264">
        <f>SUM(J36:J37)</f>
        <v>5401661851.9407558</v>
      </c>
      <c r="K38" s="213"/>
      <c r="L38" s="214"/>
      <c r="O38" s="215"/>
    </row>
    <row r="39" spans="1:15" ht="50.25" customHeight="1" thickBot="1">
      <c r="A39" s="140">
        <v>39</v>
      </c>
      <c r="B39" s="216" t="s">
        <v>125</v>
      </c>
      <c r="C39" s="217" t="s">
        <v>107</v>
      </c>
      <c r="D39" s="140">
        <f t="shared" si="0"/>
        <v>39</v>
      </c>
      <c r="K39" s="213"/>
      <c r="L39" s="214"/>
      <c r="O39" s="215"/>
    </row>
    <row r="40" spans="1:15" ht="17.100000000000001" customHeight="1">
      <c r="A40" s="140">
        <v>40</v>
      </c>
      <c r="B40" s="171" t="s">
        <v>15</v>
      </c>
      <c r="C40" s="218">
        <f>F42</f>
        <v>0.3</v>
      </c>
      <c r="D40" s="140">
        <f t="shared" si="0"/>
        <v>40</v>
      </c>
      <c r="E40" s="298" t="s">
        <v>13</v>
      </c>
      <c r="F40" s="299"/>
      <c r="G40" s="300"/>
      <c r="H40" s="211"/>
      <c r="K40" s="213"/>
      <c r="L40" s="214"/>
      <c r="O40" s="215"/>
    </row>
    <row r="41" spans="1:15" ht="17.100000000000001" customHeight="1">
      <c r="A41" s="140">
        <v>41</v>
      </c>
      <c r="B41" s="171" t="s">
        <v>16</v>
      </c>
      <c r="C41" s="218">
        <f>F43</f>
        <v>0</v>
      </c>
      <c r="D41" s="140">
        <f t="shared" si="0"/>
        <v>41</v>
      </c>
      <c r="E41" s="301" t="s">
        <v>125</v>
      </c>
      <c r="F41" s="370" t="s">
        <v>153</v>
      </c>
      <c r="G41" s="371"/>
      <c r="K41" s="213"/>
      <c r="L41" s="214"/>
      <c r="O41" s="215"/>
    </row>
    <row r="42" spans="1:15" ht="17.100000000000001" customHeight="1" thickBot="1">
      <c r="A42" s="140">
        <v>42</v>
      </c>
      <c r="B42" s="198" t="s">
        <v>11</v>
      </c>
      <c r="C42" s="329">
        <f>F44</f>
        <v>0.25</v>
      </c>
      <c r="D42" s="140">
        <f t="shared" si="0"/>
        <v>42</v>
      </c>
      <c r="E42" s="274" t="s">
        <v>15</v>
      </c>
      <c r="F42" s="332">
        <v>0.3</v>
      </c>
      <c r="G42" s="302"/>
      <c r="K42" s="213"/>
      <c r="L42" s="214"/>
      <c r="O42" s="215"/>
    </row>
    <row r="43" spans="1:15" ht="18.75" customHeight="1" thickBot="1">
      <c r="A43" s="140">
        <v>43</v>
      </c>
      <c r="B43" s="222"/>
      <c r="C43" s="223"/>
      <c r="D43" s="140">
        <f t="shared" si="0"/>
        <v>43</v>
      </c>
      <c r="E43" s="274" t="s">
        <v>16</v>
      </c>
      <c r="F43" s="330">
        <v>0</v>
      </c>
      <c r="G43" s="302"/>
      <c r="K43" s="213"/>
      <c r="L43" s="214"/>
      <c r="O43" s="215"/>
    </row>
    <row r="44" spans="1:15" ht="17.100000000000001" customHeight="1" thickBot="1">
      <c r="A44" s="140">
        <v>44</v>
      </c>
      <c r="B44" s="168" t="s">
        <v>20</v>
      </c>
      <c r="C44" s="224"/>
      <c r="D44" s="140">
        <f t="shared" si="0"/>
        <v>44</v>
      </c>
      <c r="E44" s="303" t="s">
        <v>11</v>
      </c>
      <c r="F44" s="331">
        <v>0.25</v>
      </c>
      <c r="G44" s="304"/>
      <c r="K44" s="213"/>
      <c r="L44" s="214"/>
      <c r="O44" s="215"/>
    </row>
    <row r="45" spans="1:15" ht="17.100000000000001" customHeight="1" thickBot="1">
      <c r="A45" s="140">
        <v>45</v>
      </c>
      <c r="B45" s="225" t="s">
        <v>18</v>
      </c>
      <c r="C45" s="226">
        <f>E12</f>
        <v>0.17</v>
      </c>
      <c r="D45" s="140">
        <f t="shared" si="0"/>
        <v>45</v>
      </c>
      <c r="E45" s="211"/>
      <c r="F45" s="211"/>
      <c r="G45" s="211"/>
    </row>
    <row r="46" spans="1:15" ht="17.100000000000001" customHeight="1" thickBot="1">
      <c r="A46" s="140">
        <v>46</v>
      </c>
      <c r="B46" s="198" t="s">
        <v>120</v>
      </c>
      <c r="C46" s="227">
        <f>G19</f>
        <v>25</v>
      </c>
      <c r="D46" s="140">
        <f t="shared" si="0"/>
        <v>46</v>
      </c>
      <c r="E46" s="298" t="s">
        <v>99</v>
      </c>
      <c r="F46" s="307"/>
      <c r="G46" s="211"/>
      <c r="H46" s="221"/>
      <c r="I46" s="211"/>
      <c r="J46" s="211"/>
    </row>
    <row r="47" spans="1:15" ht="17.100000000000001" customHeight="1" thickBot="1">
      <c r="A47" s="140">
        <v>47</v>
      </c>
      <c r="B47" s="228"/>
      <c r="C47" s="229"/>
      <c r="D47" s="140">
        <f t="shared" si="0"/>
        <v>47</v>
      </c>
      <c r="E47" s="308" t="s">
        <v>98</v>
      </c>
      <c r="F47" s="309">
        <v>0</v>
      </c>
      <c r="G47" s="211"/>
      <c r="H47" s="221"/>
      <c r="I47" s="211"/>
      <c r="J47" s="211"/>
    </row>
    <row r="48" spans="1:15" ht="17.100000000000001" customHeight="1">
      <c r="A48" s="140">
        <v>48</v>
      </c>
      <c r="B48" s="168" t="s">
        <v>99</v>
      </c>
      <c r="C48" s="230"/>
      <c r="D48" s="140">
        <f t="shared" si="0"/>
        <v>48</v>
      </c>
      <c r="E48" s="310" t="s">
        <v>97</v>
      </c>
      <c r="F48" s="309">
        <v>0</v>
      </c>
      <c r="G48" s="211"/>
      <c r="H48" s="221"/>
      <c r="K48" s="231"/>
      <c r="L48" s="141" t="s">
        <v>0</v>
      </c>
    </row>
    <row r="49" spans="1:11" ht="17.100000000000001" customHeight="1">
      <c r="A49" s="140">
        <v>49</v>
      </c>
      <c r="B49" s="232" t="s">
        <v>98</v>
      </c>
      <c r="C49" s="233">
        <f>F47</f>
        <v>0</v>
      </c>
      <c r="D49" s="140">
        <f t="shared" si="0"/>
        <v>49</v>
      </c>
      <c r="E49" s="310" t="s">
        <v>154</v>
      </c>
      <c r="F49" s="309">
        <v>0</v>
      </c>
      <c r="G49" s="211"/>
      <c r="H49" s="221"/>
      <c r="I49" s="219" t="s">
        <v>0</v>
      </c>
      <c r="K49" s="231"/>
    </row>
    <row r="50" spans="1:11" ht="17.100000000000001" customHeight="1" thickBot="1">
      <c r="A50" s="140">
        <v>50</v>
      </c>
      <c r="B50" s="234" t="s">
        <v>97</v>
      </c>
      <c r="C50" s="233">
        <f>F48</f>
        <v>0</v>
      </c>
      <c r="D50" s="140">
        <f t="shared" si="0"/>
        <v>50</v>
      </c>
      <c r="E50" s="303" t="s">
        <v>123</v>
      </c>
      <c r="F50" s="311">
        <f>SUM(F47:F49)</f>
        <v>0</v>
      </c>
      <c r="G50" s="211"/>
      <c r="H50" s="221"/>
      <c r="K50" s="231"/>
    </row>
    <row r="51" spans="1:11" ht="17.100000000000001" customHeight="1" thickBot="1">
      <c r="A51" s="140">
        <v>51</v>
      </c>
      <c r="B51" s="234" t="s">
        <v>152</v>
      </c>
      <c r="C51" s="233">
        <f>F49</f>
        <v>0</v>
      </c>
      <c r="D51" s="140">
        <f t="shared" si="0"/>
        <v>51</v>
      </c>
      <c r="E51" s="211"/>
      <c r="F51" s="211"/>
      <c r="G51" s="211"/>
      <c r="H51" s="221"/>
      <c r="J51" s="221"/>
      <c r="K51" s="231"/>
    </row>
    <row r="52" spans="1:11" ht="17.100000000000001" customHeight="1" thickBot="1">
      <c r="A52" s="140">
        <v>52</v>
      </c>
      <c r="B52" s="198" t="s">
        <v>123</v>
      </c>
      <c r="C52" s="235">
        <f>F50</f>
        <v>0</v>
      </c>
      <c r="D52" s="140">
        <f t="shared" si="0"/>
        <v>52</v>
      </c>
      <c r="E52" s="298" t="s">
        <v>122</v>
      </c>
      <c r="F52" s="312"/>
      <c r="G52" s="211"/>
      <c r="H52" s="221"/>
      <c r="J52" s="221"/>
      <c r="K52" s="236"/>
    </row>
    <row r="53" spans="1:11" ht="17.100000000000001" customHeight="1" thickBot="1">
      <c r="A53" s="140">
        <v>53</v>
      </c>
      <c r="B53" s="237"/>
      <c r="C53" s="238"/>
      <c r="D53" s="140">
        <f t="shared" si="0"/>
        <v>53</v>
      </c>
      <c r="E53" s="301" t="s">
        <v>134</v>
      </c>
      <c r="F53" s="313" t="s">
        <v>158</v>
      </c>
      <c r="G53" s="211"/>
      <c r="H53" s="221"/>
      <c r="I53" s="221"/>
      <c r="J53" s="221"/>
      <c r="K53" s="239" t="s">
        <v>0</v>
      </c>
    </row>
    <row r="54" spans="1:11" ht="17.100000000000001" customHeight="1">
      <c r="A54" s="140">
        <v>54</v>
      </c>
      <c r="B54" s="168" t="s">
        <v>122</v>
      </c>
      <c r="C54" s="212"/>
      <c r="D54" s="140">
        <f t="shared" si="0"/>
        <v>54</v>
      </c>
      <c r="E54" s="301" t="s">
        <v>136</v>
      </c>
      <c r="F54" s="313" t="s">
        <v>158</v>
      </c>
      <c r="G54" s="211"/>
      <c r="H54" s="221"/>
      <c r="I54" s="221"/>
      <c r="J54" s="221"/>
    </row>
    <row r="55" spans="1:11" ht="18.75" customHeight="1" thickBot="1">
      <c r="A55" s="140">
        <v>55</v>
      </c>
      <c r="B55" s="216" t="s">
        <v>134</v>
      </c>
      <c r="C55" s="281" t="str">
        <f>F53</f>
        <v>Yes</v>
      </c>
      <c r="D55" s="140">
        <v>55</v>
      </c>
      <c r="E55" s="314" t="s">
        <v>135</v>
      </c>
      <c r="F55" s="315">
        <v>14</v>
      </c>
      <c r="G55" s="316" t="s">
        <v>0</v>
      </c>
      <c r="H55" s="221"/>
      <c r="I55" s="261"/>
      <c r="J55" s="261"/>
    </row>
    <row r="56" spans="1:11" ht="17.25" customHeight="1">
      <c r="A56" s="140">
        <v>56</v>
      </c>
      <c r="B56" s="216" t="s">
        <v>136</v>
      </c>
      <c r="C56" s="281" t="str">
        <f>F54</f>
        <v>Yes</v>
      </c>
      <c r="D56" s="140">
        <v>56</v>
      </c>
      <c r="I56" s="261"/>
      <c r="J56" s="261"/>
    </row>
    <row r="57" spans="1:11" ht="18" customHeight="1" thickBot="1">
      <c r="A57" s="140">
        <v>57</v>
      </c>
      <c r="B57" s="208" t="s">
        <v>135</v>
      </c>
      <c r="C57" s="282">
        <f>F55</f>
        <v>14</v>
      </c>
      <c r="D57" s="140">
        <v>57</v>
      </c>
      <c r="I57" s="261"/>
      <c r="J57" s="261"/>
    </row>
    <row r="58" spans="1:11" ht="17.100000000000001" customHeight="1" thickBot="1">
      <c r="A58" s="140">
        <v>58</v>
      </c>
      <c r="D58" s="140">
        <v>58</v>
      </c>
      <c r="I58" s="261"/>
      <c r="J58" s="261"/>
    </row>
    <row r="59" spans="1:11" ht="15.75" customHeight="1" thickBot="1">
      <c r="A59" s="140">
        <v>59</v>
      </c>
      <c r="B59" s="280" t="s">
        <v>137</v>
      </c>
      <c r="C59" s="251"/>
      <c r="D59" s="140">
        <v>59</v>
      </c>
      <c r="I59" s="221"/>
      <c r="J59" s="221"/>
    </row>
    <row r="60" spans="1:11" ht="17.100000000000001" customHeight="1">
      <c r="A60" s="140">
        <v>60</v>
      </c>
      <c r="B60" s="283" t="s">
        <v>138</v>
      </c>
      <c r="C60" s="248">
        <f>'IRR Template (Var)'!C3</f>
        <v>0.27625302585574385</v>
      </c>
      <c r="D60" s="140">
        <v>60</v>
      </c>
      <c r="I60" s="221"/>
      <c r="J60" s="221"/>
    </row>
    <row r="61" spans="1:11" ht="17.100000000000001" customHeight="1" thickBot="1">
      <c r="A61" s="140">
        <v>61</v>
      </c>
      <c r="B61" s="284" t="s">
        <v>139</v>
      </c>
      <c r="C61" s="249">
        <f>'ROI Template (Var)'!C34</f>
        <v>2.6422545883951374</v>
      </c>
      <c r="D61" s="140">
        <v>61</v>
      </c>
      <c r="I61" s="221"/>
      <c r="J61" s="221"/>
    </row>
    <row r="62" spans="1:11" ht="16.5" customHeight="1">
      <c r="A62" s="140" t="s">
        <v>0</v>
      </c>
      <c r="D62" s="140"/>
      <c r="I62" s="221"/>
      <c r="J62" s="221"/>
    </row>
    <row r="63" spans="1:11">
      <c r="D63" s="140"/>
    </row>
    <row r="64" spans="1:11">
      <c r="D64" s="140"/>
    </row>
    <row r="65" spans="4:8">
      <c r="D65" s="140"/>
    </row>
    <row r="66" spans="4:8">
      <c r="D66" s="140"/>
    </row>
    <row r="67" spans="4:8">
      <c r="D67" s="140"/>
    </row>
    <row r="68" spans="4:8">
      <c r="D68" s="140"/>
    </row>
    <row r="69" spans="4:8">
      <c r="D69" s="140"/>
    </row>
    <row r="70" spans="4:8">
      <c r="D70" s="140"/>
    </row>
    <row r="71" spans="4:8">
      <c r="D71" s="140"/>
    </row>
    <row r="72" spans="4:8">
      <c r="D72" s="140"/>
    </row>
    <row r="73" spans="4:8">
      <c r="D73" s="140"/>
    </row>
    <row r="74" spans="4:8">
      <c r="D74" s="140"/>
    </row>
    <row r="75" spans="4:8">
      <c r="D75" s="140"/>
    </row>
    <row r="77" spans="4:8">
      <c r="H77" s="221"/>
    </row>
    <row r="78" spans="4:8">
      <c r="H78" s="221"/>
    </row>
    <row r="79" spans="4:8">
      <c r="H79" s="221"/>
    </row>
    <row r="85" spans="5:6" ht="18.75">
      <c r="E85" s="356"/>
      <c r="F85" s="356"/>
    </row>
  </sheetData>
  <mergeCells count="17">
    <mergeCell ref="E85:F85"/>
    <mergeCell ref="E38:G38"/>
    <mergeCell ref="E37:G37"/>
    <mergeCell ref="E36:G36"/>
    <mergeCell ref="E34:G34"/>
    <mergeCell ref="E35:G35"/>
    <mergeCell ref="F41:G41"/>
    <mergeCell ref="B2:C2"/>
    <mergeCell ref="B3:C6"/>
    <mergeCell ref="E2:J2"/>
    <mergeCell ref="E8:J8"/>
    <mergeCell ref="E7:J7"/>
    <mergeCell ref="I25:J25"/>
    <mergeCell ref="I28:J28"/>
    <mergeCell ref="I31:J31"/>
    <mergeCell ref="B7:C7"/>
    <mergeCell ref="B8:C8"/>
  </mergeCells>
  <dataValidations count="3">
    <dataValidation type="whole" allowBlank="1" showInputMessage="1" showErrorMessage="1" errorTitle="Years" error="Please enter a whole number of years from 1 to 40." sqref="G19:G20">
      <formula1>1</formula1>
      <formula2>40</formula2>
    </dataValidation>
    <dataValidation type="date" operator="greaterThanOrEqual" allowBlank="1" showInputMessage="1" showErrorMessage="1" errorTitle="Date" error="Please enter a valid date greater than or equal to January 1, 1900." sqref="G22">
      <formula1>1</formula1>
    </dataValidation>
    <dataValidation allowBlank="1" showInputMessage="1" showErrorMessage="1" promptTitle="Extra Payments" prompt="Enter an amount here if you want to make additional principal payments every pay period._x000a__x000a_For occasional extra payments, enter the extra principal amounts directly in the 'Extra Payment' column below." sqref="G23"/>
  </dataValidations>
  <printOptions horizontalCentered="1"/>
  <pageMargins left="0.45" right="0.45" top="0.5" bottom="0.5" header="0.3" footer="0.3"/>
  <pageSetup scale="65" orientation="portrait" horizontalDpi="300" verticalDpi="300" r:id="rId1"/>
  <headerFooter>
    <oddFooter>&amp;CPage &amp;P&amp;R&amp;9Version 1.4 6-13-2016</oddFooter>
  </headerFooter>
  <colBreaks count="1" manualBreakCount="1">
    <brk id="3" max="6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M137"/>
  <sheetViews>
    <sheetView zoomScaleNormal="100" workbookViewId="0">
      <selection activeCell="E52" sqref="E52"/>
    </sheetView>
  </sheetViews>
  <sheetFormatPr defaultRowHeight="12.75"/>
  <cols>
    <col min="1" max="1" width="6.28515625" style="13" customWidth="1"/>
    <col min="2" max="2" width="12.140625" style="14" customWidth="1"/>
    <col min="3" max="3" width="18.85546875" style="14" customWidth="1"/>
    <col min="4" max="9" width="15.7109375" style="14" customWidth="1"/>
    <col min="10" max="10" width="17" style="14" customWidth="1"/>
    <col min="11" max="12" width="14.7109375" style="2" customWidth="1"/>
    <col min="13" max="13" width="17" style="2" customWidth="1"/>
    <col min="14" max="16384" width="9.140625" style="2"/>
  </cols>
  <sheetData>
    <row r="1" spans="1:10" ht="24" customHeight="1">
      <c r="A1" s="24" t="s">
        <v>21</v>
      </c>
      <c r="B1" s="25"/>
      <c r="C1" s="25"/>
      <c r="D1" s="25"/>
      <c r="E1" s="26"/>
      <c r="F1" s="26"/>
      <c r="G1" s="26"/>
      <c r="H1" s="26"/>
      <c r="I1" s="26"/>
      <c r="J1" s="27"/>
    </row>
    <row r="2" spans="1:10" ht="3" customHeight="1">
      <c r="A2" s="28"/>
      <c r="B2" s="3"/>
      <c r="C2" s="3"/>
      <c r="D2" s="3"/>
      <c r="E2" s="3"/>
      <c r="F2" s="3"/>
      <c r="G2" s="3"/>
      <c r="H2" s="3"/>
      <c r="I2" s="3"/>
      <c r="J2" s="29"/>
    </row>
    <row r="3" spans="1:10" ht="20.25" customHeight="1" thickBot="1">
      <c r="A3" s="16"/>
      <c r="B3" s="4"/>
      <c r="C3" s="4"/>
      <c r="D3" s="4"/>
      <c r="E3" s="4"/>
      <c r="F3" s="4"/>
      <c r="G3" s="4"/>
      <c r="H3" s="4"/>
      <c r="I3" s="4"/>
      <c r="J3" s="30"/>
    </row>
    <row r="4" spans="1:10" ht="14.25" customHeight="1">
      <c r="A4" s="16"/>
      <c r="B4" s="372" t="s">
        <v>22</v>
      </c>
      <c r="C4" s="373"/>
      <c r="D4" s="374"/>
      <c r="E4" s="1"/>
      <c r="F4" s="4"/>
      <c r="G4" s="4"/>
      <c r="H4" s="375" t="s">
        <v>23</v>
      </c>
      <c r="I4" s="376"/>
      <c r="J4" s="377"/>
    </row>
    <row r="5" spans="1:10">
      <c r="A5" s="16"/>
      <c r="B5" s="16"/>
      <c r="C5" s="5" t="s">
        <v>24</v>
      </c>
      <c r="D5" s="86">
        <f>'Investment Memorandum'!C11</f>
        <v>956200000</v>
      </c>
      <c r="E5" s="1"/>
      <c r="F5" s="4"/>
      <c r="G5" s="4"/>
      <c r="H5" s="16"/>
      <c r="I5" s="5" t="s">
        <v>25</v>
      </c>
      <c r="J5" s="87">
        <f>IF(Values_Entered,-PMT(Interest_Rate/Num_Pmt_Per_Year,Loan_Years*Num_Pmt_Per_Year,Loan_Amount),"")</f>
        <v>10141984.567160374</v>
      </c>
    </row>
    <row r="6" spans="1:10">
      <c r="A6" s="16"/>
      <c r="B6" s="16"/>
      <c r="C6" s="5" t="s">
        <v>26</v>
      </c>
      <c r="D6" s="135">
        <f>'Investment Memorandum'!G18</f>
        <v>0.05</v>
      </c>
      <c r="E6" s="1"/>
      <c r="F6" s="4"/>
      <c r="G6" s="4"/>
      <c r="H6" s="16"/>
      <c r="I6" s="5" t="s">
        <v>27</v>
      </c>
      <c r="J6" s="88">
        <f>IF(Values_Entered,Loan_Years*Num_Pmt_Per_Year,"")</f>
        <v>120</v>
      </c>
    </row>
    <row r="7" spans="1:10">
      <c r="A7" s="16"/>
      <c r="B7" s="16"/>
      <c r="C7" s="5" t="s">
        <v>28</v>
      </c>
      <c r="D7" s="136">
        <f>'Investment Memorandum'!G20</f>
        <v>10</v>
      </c>
      <c r="E7" s="1"/>
      <c r="F7" s="4"/>
      <c r="G7" s="4"/>
      <c r="H7" s="16"/>
      <c r="I7" s="5" t="s">
        <v>29</v>
      </c>
      <c r="J7" s="88">
        <f>IF(Values_Entered,Number_of_Payments,"")</f>
        <v>120</v>
      </c>
    </row>
    <row r="8" spans="1:10">
      <c r="A8" s="16"/>
      <c r="B8" s="16"/>
      <c r="C8" s="5" t="s">
        <v>30</v>
      </c>
      <c r="D8" s="136">
        <f>'Investment Memorandum'!G21</f>
        <v>12</v>
      </c>
      <c r="E8" s="1"/>
      <c r="F8" s="4"/>
      <c r="G8" s="4"/>
      <c r="H8" s="16"/>
      <c r="I8" s="5" t="s">
        <v>31</v>
      </c>
      <c r="J8" s="89">
        <f>IF(Values_Entered,SUMIF(Beg_Bal,"&gt;0",Extra_Pay),"")</f>
        <v>0</v>
      </c>
    </row>
    <row r="9" spans="1:10" ht="13.5" thickBot="1">
      <c r="A9" s="16"/>
      <c r="B9" s="16"/>
      <c r="C9" s="5" t="s">
        <v>32</v>
      </c>
      <c r="D9" s="137">
        <f>'Investment Memorandum'!G22</f>
        <v>43101</v>
      </c>
      <c r="E9" s="1"/>
      <c r="F9" s="4"/>
      <c r="G9" s="4"/>
      <c r="H9" s="17"/>
      <c r="I9" s="18" t="s">
        <v>33</v>
      </c>
      <c r="J9" s="90">
        <f>IF(Values_Entered,SUMIF(Beg_Bal,"&gt;0",Int),"")</f>
        <v>260838148.05924478</v>
      </c>
    </row>
    <row r="10" spans="1:10" ht="13.5" thickBot="1">
      <c r="A10" s="16"/>
      <c r="B10" s="17"/>
      <c r="C10" s="18" t="s">
        <v>34</v>
      </c>
      <c r="D10" s="134">
        <f>'Investment Memorandum'!G23</f>
        <v>0</v>
      </c>
      <c r="E10" s="1"/>
      <c r="F10" s="4"/>
      <c r="G10" s="4"/>
      <c r="H10" s="4"/>
      <c r="I10" s="4"/>
      <c r="J10" s="31"/>
    </row>
    <row r="11" spans="1:10" ht="13.5" thickBot="1">
      <c r="A11" s="16"/>
      <c r="B11" s="4"/>
      <c r="C11" s="4"/>
      <c r="D11" s="4"/>
      <c r="E11" s="4"/>
      <c r="F11" s="4"/>
      <c r="G11" s="4"/>
      <c r="H11" s="4"/>
      <c r="I11" s="4"/>
      <c r="J11" s="30"/>
    </row>
    <row r="12" spans="1:10" ht="13.5" thickBot="1">
      <c r="A12" s="16"/>
      <c r="B12" s="6" t="s">
        <v>35</v>
      </c>
      <c r="C12" s="378" t="s">
        <v>36</v>
      </c>
      <c r="D12" s="379"/>
      <c r="E12" s="4"/>
      <c r="F12" s="4"/>
      <c r="G12" s="4"/>
      <c r="H12" s="4"/>
      <c r="I12" s="4"/>
      <c r="J12" s="30"/>
    </row>
    <row r="13" spans="1:10">
      <c r="A13" s="16"/>
      <c r="B13" s="6"/>
      <c r="C13" s="19"/>
      <c r="D13" s="19"/>
      <c r="E13" s="4"/>
      <c r="F13" s="4"/>
      <c r="G13" s="4"/>
      <c r="H13" s="4"/>
      <c r="I13" s="4"/>
      <c r="J13" s="30"/>
    </row>
    <row r="14" spans="1:10" ht="3.75" customHeight="1" thickBot="1">
      <c r="A14" s="32"/>
      <c r="B14" s="7"/>
      <c r="C14" s="7"/>
      <c r="D14" s="7"/>
      <c r="E14" s="7"/>
      <c r="F14" s="7"/>
      <c r="G14" s="7"/>
      <c r="H14" s="7"/>
      <c r="I14" s="7"/>
      <c r="J14" s="33"/>
    </row>
    <row r="15" spans="1:10" s="8" customFormat="1" ht="25.5">
      <c r="A15" s="39" t="s">
        <v>37</v>
      </c>
      <c r="B15" s="40" t="s">
        <v>38</v>
      </c>
      <c r="C15" s="40" t="s">
        <v>39</v>
      </c>
      <c r="D15" s="40" t="s">
        <v>40</v>
      </c>
      <c r="E15" s="40" t="s">
        <v>41</v>
      </c>
      <c r="F15" s="40" t="s">
        <v>42</v>
      </c>
      <c r="G15" s="40" t="s">
        <v>5</v>
      </c>
      <c r="H15" s="40" t="s">
        <v>6</v>
      </c>
      <c r="I15" s="40" t="s">
        <v>43</v>
      </c>
      <c r="J15" s="41" t="s">
        <v>44</v>
      </c>
    </row>
    <row r="16" spans="1:10" s="8" customFormat="1" ht="6" customHeight="1">
      <c r="A16" s="42"/>
      <c r="B16" s="38"/>
      <c r="C16" s="38"/>
      <c r="D16" s="38"/>
      <c r="E16" s="38"/>
      <c r="F16" s="38"/>
      <c r="G16" s="38"/>
      <c r="H16" s="38"/>
      <c r="I16" s="38"/>
      <c r="J16" s="43"/>
    </row>
    <row r="17" spans="1:13" s="10" customFormat="1">
      <c r="A17" s="53">
        <f>IF(Values_Entered,1,"")</f>
        <v>1</v>
      </c>
      <c r="B17" s="20">
        <f t="shared" ref="B17:B80" si="0">IF(Pay_Num&lt;&gt;"",DATE(YEAR(Loan_Start),MONTH(Loan_Start)+(Pay_Num)*12/Num_Pmt_Per_Year,DAY(Loan_Start)),"")</f>
        <v>43132</v>
      </c>
      <c r="C17" s="21">
        <f>IF(Values_Entered,Loan_Amount,"")</f>
        <v>956200000</v>
      </c>
      <c r="D17" s="22">
        <f>IF(Pay_Num&lt;&gt;"",Scheduled_Monthly_Payment,"")</f>
        <v>10141984.567160374</v>
      </c>
      <c r="E17" s="23">
        <f t="shared" ref="E17:E80" si="1">IF(AND(Pay_Num&lt;&gt;"",Sched_Pay+Scheduled_Extra_Payments&lt;Beg_Bal),Scheduled_Extra_Payments,IF(AND(Pay_Num&lt;&gt;"",Beg_Bal-Sched_Pay&gt;0),Beg_Bal-Sched_Pay,IF(Pay_Num&lt;&gt;"",0,"")))</f>
        <v>0</v>
      </c>
      <c r="F17" s="22">
        <f t="shared" ref="F17:F80" si="2">IF(AND(Pay_Num&lt;&gt;"",Sched_Pay+Extra_Pay&lt;Beg_Bal),Sched_Pay+Extra_Pay,IF(Pay_Num&lt;&gt;"",Beg_Bal,""))</f>
        <v>10141984.567160374</v>
      </c>
      <c r="G17" s="22">
        <f>IF(Pay_Num&lt;&gt;"",Total_Pay-Int,"")</f>
        <v>6157817.9004937075</v>
      </c>
      <c r="H17" s="22">
        <f>IF(Pay_Num&lt;&gt;"",Beg_Bal*(Interest_Rate/Num_Pmt_Per_Year),"")</f>
        <v>3984166.6666666665</v>
      </c>
      <c r="I17" s="22">
        <f t="shared" ref="I17:I80" si="3">IF(AND(Pay_Num&lt;&gt;"",Sched_Pay+Extra_Pay&lt;Beg_Bal),Beg_Bal-Princ,IF(Pay_Num&lt;&gt;"",0,""))</f>
        <v>950042182.09950626</v>
      </c>
      <c r="J17" s="22">
        <f>SUM($H$17:$H17)</f>
        <v>3984166.6666666665</v>
      </c>
      <c r="K17" s="9"/>
    </row>
    <row r="18" spans="1:13" s="8" customFormat="1" ht="12.75" customHeight="1">
      <c r="A18" s="53">
        <f t="shared" ref="A18:A81" si="4">IF(Values_Entered,A17+1,"")</f>
        <v>2</v>
      </c>
      <c r="B18" s="20">
        <f t="shared" si="0"/>
        <v>43160</v>
      </c>
      <c r="C18" s="21">
        <f t="shared" ref="C18:C81" si="5">IF(Pay_Num&lt;&gt;"",I17,"")</f>
        <v>950042182.09950626</v>
      </c>
      <c r="D18" s="22">
        <f>IF(Pay_Num&lt;&gt;"",Scheduled_Monthly_Payment,"")</f>
        <v>10141984.567160374</v>
      </c>
      <c r="E18" s="23">
        <f t="shared" si="1"/>
        <v>0</v>
      </c>
      <c r="F18" s="22">
        <f t="shared" si="2"/>
        <v>10141984.567160374</v>
      </c>
      <c r="G18" s="22">
        <f t="shared" ref="G18:G81" si="6">IF(Pay_Num&lt;&gt;"",Total_Pay-Int,"")</f>
        <v>6183475.4750790969</v>
      </c>
      <c r="H18" s="22">
        <f t="shared" ref="H18:H81" si="7">IF(Pay_Num&lt;&gt;"",Beg_Bal*Interest_Rate/Num_Pmt_Per_Year,"")</f>
        <v>3958509.0920812762</v>
      </c>
      <c r="I18" s="22">
        <f t="shared" si="3"/>
        <v>943858706.6244272</v>
      </c>
      <c r="J18" s="22">
        <f>SUM($H$17:$H18)</f>
        <v>7942675.7587479427</v>
      </c>
      <c r="K18" s="11"/>
    </row>
    <row r="19" spans="1:13" s="8" customFormat="1" ht="12.75" customHeight="1">
      <c r="A19" s="53">
        <f t="shared" si="4"/>
        <v>3</v>
      </c>
      <c r="B19" s="20">
        <f t="shared" si="0"/>
        <v>43191</v>
      </c>
      <c r="C19" s="21">
        <f t="shared" si="5"/>
        <v>943858706.6244272</v>
      </c>
      <c r="D19" s="22">
        <f t="shared" ref="D19:D82" si="8">IF(Pay_Num&lt;&gt;"",Scheduled_Monthly_Payment,"")</f>
        <v>10141984.567160374</v>
      </c>
      <c r="E19" s="23">
        <f t="shared" si="1"/>
        <v>0</v>
      </c>
      <c r="F19" s="51">
        <f t="shared" si="2"/>
        <v>10141984.567160374</v>
      </c>
      <c r="G19" s="51">
        <f t="shared" si="6"/>
        <v>6209239.9562252592</v>
      </c>
      <c r="H19" s="51">
        <f t="shared" si="7"/>
        <v>3932744.6109351139</v>
      </c>
      <c r="I19" s="51">
        <f t="shared" si="3"/>
        <v>937649466.66820192</v>
      </c>
      <c r="J19" s="51">
        <f>SUM($H$17:$H19)</f>
        <v>11875420.369683057</v>
      </c>
      <c r="K19" s="11"/>
    </row>
    <row r="20" spans="1:13" s="8" customFormat="1">
      <c r="A20" s="53">
        <f t="shared" si="4"/>
        <v>4</v>
      </c>
      <c r="B20" s="20">
        <f t="shared" si="0"/>
        <v>43221</v>
      </c>
      <c r="C20" s="21">
        <f t="shared" si="5"/>
        <v>937649466.66820192</v>
      </c>
      <c r="D20" s="22">
        <f>IF(Pay_Num&lt;&gt;"",Scheduled_Monthly_Payment,"")</f>
        <v>10141984.567160374</v>
      </c>
      <c r="E20" s="23">
        <f t="shared" si="1"/>
        <v>0</v>
      </c>
      <c r="F20" s="51">
        <f t="shared" si="2"/>
        <v>10141984.567160374</v>
      </c>
      <c r="G20" s="51">
        <f t="shared" si="6"/>
        <v>6235111.7893761992</v>
      </c>
      <c r="H20" s="51">
        <f t="shared" si="7"/>
        <v>3906872.7777841748</v>
      </c>
      <c r="I20" s="51">
        <f t="shared" si="3"/>
        <v>931414354.87882566</v>
      </c>
      <c r="J20" s="51">
        <f>SUM($H$17:$H20)</f>
        <v>15782293.147467231</v>
      </c>
      <c r="K20" s="11"/>
    </row>
    <row r="21" spans="1:13" s="8" customFormat="1">
      <c r="A21" s="53">
        <f t="shared" si="4"/>
        <v>5</v>
      </c>
      <c r="B21" s="20">
        <f t="shared" si="0"/>
        <v>43252</v>
      </c>
      <c r="C21" s="21">
        <f t="shared" si="5"/>
        <v>931414354.87882566</v>
      </c>
      <c r="D21" s="22">
        <f t="shared" si="8"/>
        <v>10141984.567160374</v>
      </c>
      <c r="E21" s="23">
        <f t="shared" si="1"/>
        <v>0</v>
      </c>
      <c r="F21" s="51">
        <f t="shared" si="2"/>
        <v>10141984.567160374</v>
      </c>
      <c r="G21" s="51">
        <f t="shared" si="6"/>
        <v>6261091.4218319338</v>
      </c>
      <c r="H21" s="51">
        <f t="shared" si="7"/>
        <v>3880893.1453284402</v>
      </c>
      <c r="I21" s="51">
        <f t="shared" si="3"/>
        <v>925153263.4569937</v>
      </c>
      <c r="J21" s="51">
        <f>SUM($H$17:$H21)</f>
        <v>19663186.292795673</v>
      </c>
      <c r="K21" s="11"/>
    </row>
    <row r="22" spans="1:13">
      <c r="A22" s="53">
        <f t="shared" si="4"/>
        <v>6</v>
      </c>
      <c r="B22" s="20">
        <f t="shared" si="0"/>
        <v>43282</v>
      </c>
      <c r="C22" s="21">
        <f t="shared" si="5"/>
        <v>925153263.4569937</v>
      </c>
      <c r="D22" s="22">
        <f t="shared" si="8"/>
        <v>10141984.567160374</v>
      </c>
      <c r="E22" s="23">
        <f t="shared" si="1"/>
        <v>0</v>
      </c>
      <c r="F22" s="51">
        <f t="shared" si="2"/>
        <v>10141984.567160374</v>
      </c>
      <c r="G22" s="51">
        <f t="shared" si="6"/>
        <v>6287179.3027562331</v>
      </c>
      <c r="H22" s="51">
        <f t="shared" si="7"/>
        <v>3854805.2644041404</v>
      </c>
      <c r="I22" s="51">
        <f t="shared" si="3"/>
        <v>918866084.15423751</v>
      </c>
      <c r="J22" s="51">
        <f>SUM($H$17:$H22)</f>
        <v>23517991.557199813</v>
      </c>
      <c r="K22" s="12"/>
    </row>
    <row r="23" spans="1:13">
      <c r="A23" s="53">
        <f t="shared" si="4"/>
        <v>7</v>
      </c>
      <c r="B23" s="20">
        <f t="shared" si="0"/>
        <v>43313</v>
      </c>
      <c r="C23" s="21">
        <f t="shared" si="5"/>
        <v>918866084.15423751</v>
      </c>
      <c r="D23" s="22">
        <f t="shared" si="8"/>
        <v>10141984.567160374</v>
      </c>
      <c r="E23" s="23">
        <f t="shared" si="1"/>
        <v>0</v>
      </c>
      <c r="F23" s="51">
        <f t="shared" si="2"/>
        <v>10141984.567160374</v>
      </c>
      <c r="G23" s="51">
        <f t="shared" si="6"/>
        <v>6313375.8831843846</v>
      </c>
      <c r="H23" s="51">
        <f t="shared" si="7"/>
        <v>3828608.6839759895</v>
      </c>
      <c r="I23" s="51">
        <f t="shared" si="3"/>
        <v>912552708.27105308</v>
      </c>
      <c r="J23" s="51">
        <f>SUM($H$17:$H23)</f>
        <v>27346600.241175804</v>
      </c>
      <c r="K23" s="12"/>
    </row>
    <row r="24" spans="1:13">
      <c r="A24" s="53">
        <f t="shared" si="4"/>
        <v>8</v>
      </c>
      <c r="B24" s="20">
        <f t="shared" si="0"/>
        <v>43344</v>
      </c>
      <c r="C24" s="21">
        <f t="shared" si="5"/>
        <v>912552708.27105308</v>
      </c>
      <c r="D24" s="22">
        <f t="shared" si="8"/>
        <v>10141984.567160374</v>
      </c>
      <c r="E24" s="23">
        <f t="shared" si="1"/>
        <v>0</v>
      </c>
      <c r="F24" s="51">
        <f t="shared" si="2"/>
        <v>10141984.567160374</v>
      </c>
      <c r="G24" s="51">
        <f t="shared" si="6"/>
        <v>6339681.6160309855</v>
      </c>
      <c r="H24" s="51">
        <f t="shared" si="7"/>
        <v>3802302.9511293881</v>
      </c>
      <c r="I24" s="51">
        <f t="shared" si="3"/>
        <v>906213026.65502214</v>
      </c>
      <c r="J24" s="51">
        <f>SUM($H$17:$H24)</f>
        <v>31148903.192305192</v>
      </c>
      <c r="K24" s="12"/>
    </row>
    <row r="25" spans="1:13" ht="13.5" thickBot="1">
      <c r="A25" s="53">
        <f t="shared" si="4"/>
        <v>9</v>
      </c>
      <c r="B25" s="20">
        <f t="shared" si="0"/>
        <v>43374</v>
      </c>
      <c r="C25" s="21">
        <f t="shared" si="5"/>
        <v>906213026.65502214</v>
      </c>
      <c r="D25" s="22">
        <f t="shared" si="8"/>
        <v>10141984.567160374</v>
      </c>
      <c r="E25" s="23">
        <f t="shared" si="1"/>
        <v>0</v>
      </c>
      <c r="F25" s="51">
        <f t="shared" si="2"/>
        <v>10141984.567160374</v>
      </c>
      <c r="G25" s="51">
        <f t="shared" si="6"/>
        <v>6366096.9560977817</v>
      </c>
      <c r="H25" s="51">
        <f t="shared" si="7"/>
        <v>3775887.6110625924</v>
      </c>
      <c r="I25" s="51">
        <f t="shared" si="3"/>
        <v>899846929.6989243</v>
      </c>
      <c r="J25" s="51">
        <f>SUM($H$17:$H25)</f>
        <v>34924790.803367786</v>
      </c>
      <c r="K25" s="12"/>
    </row>
    <row r="26" spans="1:13">
      <c r="A26" s="53">
        <f t="shared" si="4"/>
        <v>10</v>
      </c>
      <c r="B26" s="20">
        <f t="shared" si="0"/>
        <v>43405</v>
      </c>
      <c r="C26" s="21">
        <f t="shared" si="5"/>
        <v>899846929.6989243</v>
      </c>
      <c r="D26" s="22">
        <f t="shared" si="8"/>
        <v>10141984.567160374</v>
      </c>
      <c r="E26" s="23">
        <f t="shared" si="1"/>
        <v>0</v>
      </c>
      <c r="F26" s="51">
        <f t="shared" si="2"/>
        <v>10141984.567160374</v>
      </c>
      <c r="G26" s="51">
        <f t="shared" si="6"/>
        <v>6392622.3600815218</v>
      </c>
      <c r="H26" s="51">
        <f t="shared" si="7"/>
        <v>3749362.2070788518</v>
      </c>
      <c r="I26" s="51">
        <f t="shared" si="3"/>
        <v>893454307.33884275</v>
      </c>
      <c r="J26" s="51">
        <f>SUM($H$17:$H26)</f>
        <v>38674153.010446638</v>
      </c>
      <c r="K26" s="380" t="s">
        <v>7</v>
      </c>
      <c r="L26" s="380"/>
      <c r="M26" s="381"/>
    </row>
    <row r="27" spans="1:13">
      <c r="A27" s="53">
        <f t="shared" si="4"/>
        <v>11</v>
      </c>
      <c r="B27" s="49">
        <f t="shared" si="0"/>
        <v>43435</v>
      </c>
      <c r="C27" s="50">
        <f t="shared" si="5"/>
        <v>893454307.33884275</v>
      </c>
      <c r="D27" s="51">
        <f t="shared" si="8"/>
        <v>10141984.567160374</v>
      </c>
      <c r="E27" s="52">
        <f t="shared" si="1"/>
        <v>0</v>
      </c>
      <c r="F27" s="51">
        <f t="shared" si="2"/>
        <v>10141984.567160374</v>
      </c>
      <c r="G27" s="51">
        <f t="shared" si="6"/>
        <v>6419258.2865818627</v>
      </c>
      <c r="H27" s="51">
        <f t="shared" si="7"/>
        <v>3722726.2805785113</v>
      </c>
      <c r="I27" s="51">
        <f t="shared" si="3"/>
        <v>887035049.05226088</v>
      </c>
      <c r="J27" s="51">
        <f>SUM($H$17:$H27)</f>
        <v>42396879.291025147</v>
      </c>
      <c r="K27" s="15" t="s">
        <v>5</v>
      </c>
      <c r="L27" s="15" t="s">
        <v>6</v>
      </c>
      <c r="M27" s="34" t="s">
        <v>8</v>
      </c>
    </row>
    <row r="28" spans="1:13" ht="13.5" thickBot="1">
      <c r="A28" s="53">
        <f t="shared" si="4"/>
        <v>12</v>
      </c>
      <c r="B28" s="49">
        <f t="shared" si="0"/>
        <v>43466</v>
      </c>
      <c r="C28" s="50">
        <f t="shared" si="5"/>
        <v>887035049.05226088</v>
      </c>
      <c r="D28" s="51">
        <f t="shared" si="8"/>
        <v>10141984.567160374</v>
      </c>
      <c r="E28" s="52">
        <f t="shared" si="1"/>
        <v>0</v>
      </c>
      <c r="F28" s="51">
        <f t="shared" si="2"/>
        <v>10141984.567160374</v>
      </c>
      <c r="G28" s="51">
        <f>IF(Pay_Num&lt;&gt;"",Total_Pay-Int,"")</f>
        <v>6446005.1961092856</v>
      </c>
      <c r="H28" s="51">
        <f t="shared" si="7"/>
        <v>3695979.3710510875</v>
      </c>
      <c r="I28" s="51">
        <f t="shared" si="3"/>
        <v>880589043.85615158</v>
      </c>
      <c r="J28" s="51">
        <f>SUM($H$17:$H28)</f>
        <v>46092858.662076235</v>
      </c>
      <c r="K28" s="35">
        <f>SUM(G17:G28)</f>
        <v>75610956.143848255</v>
      </c>
      <c r="L28" s="35">
        <f>SUM(H17:H28)</f>
        <v>46092858.662076235</v>
      </c>
      <c r="M28" s="44">
        <f>SUM(F17:F28)</f>
        <v>121703814.80592446</v>
      </c>
    </row>
    <row r="29" spans="1:13">
      <c r="A29" s="53">
        <f t="shared" si="4"/>
        <v>13</v>
      </c>
      <c r="B29" s="49">
        <f t="shared" si="0"/>
        <v>43497</v>
      </c>
      <c r="C29" s="50">
        <f t="shared" si="5"/>
        <v>880589043.85615158</v>
      </c>
      <c r="D29" s="51">
        <f t="shared" si="8"/>
        <v>10141984.567160374</v>
      </c>
      <c r="E29" s="52">
        <f t="shared" si="1"/>
        <v>0</v>
      </c>
      <c r="F29" s="51">
        <f t="shared" si="2"/>
        <v>10141984.567160374</v>
      </c>
      <c r="G29" s="51">
        <f t="shared" si="6"/>
        <v>6472863.5510930754</v>
      </c>
      <c r="H29" s="51">
        <f t="shared" si="7"/>
        <v>3669121.0160672986</v>
      </c>
      <c r="I29" s="51">
        <f t="shared" si="3"/>
        <v>874116180.30505848</v>
      </c>
      <c r="J29" s="51">
        <f>SUM($H$17:$H29)</f>
        <v>49761979.678143531</v>
      </c>
    </row>
    <row r="30" spans="1:13">
      <c r="A30" s="53">
        <f t="shared" si="4"/>
        <v>14</v>
      </c>
      <c r="B30" s="49">
        <f t="shared" si="0"/>
        <v>43525</v>
      </c>
      <c r="C30" s="50">
        <f t="shared" si="5"/>
        <v>874116180.30505848</v>
      </c>
      <c r="D30" s="51">
        <f t="shared" si="8"/>
        <v>10141984.567160374</v>
      </c>
      <c r="E30" s="52">
        <f t="shared" si="1"/>
        <v>0</v>
      </c>
      <c r="F30" s="51">
        <f t="shared" si="2"/>
        <v>10141984.567160374</v>
      </c>
      <c r="G30" s="51">
        <f t="shared" si="6"/>
        <v>6499833.8158892971</v>
      </c>
      <c r="H30" s="51">
        <f t="shared" si="7"/>
        <v>3642150.751271077</v>
      </c>
      <c r="I30" s="51">
        <f t="shared" si="3"/>
        <v>867616346.48916924</v>
      </c>
      <c r="J30" s="51">
        <f>SUM($H$17:$H30)</f>
        <v>53404130.429414608</v>
      </c>
      <c r="K30" s="12"/>
    </row>
    <row r="31" spans="1:13">
      <c r="A31" s="53">
        <f t="shared" si="4"/>
        <v>15</v>
      </c>
      <c r="B31" s="49">
        <f t="shared" si="0"/>
        <v>43556</v>
      </c>
      <c r="C31" s="50">
        <f t="shared" si="5"/>
        <v>867616346.48916924</v>
      </c>
      <c r="D31" s="51">
        <f t="shared" si="8"/>
        <v>10141984.567160374</v>
      </c>
      <c r="E31" s="52">
        <f t="shared" si="1"/>
        <v>0</v>
      </c>
      <c r="F31" s="51">
        <f t="shared" si="2"/>
        <v>10141984.567160374</v>
      </c>
      <c r="G31" s="51">
        <f t="shared" si="6"/>
        <v>6526916.4567888342</v>
      </c>
      <c r="H31" s="51">
        <f t="shared" si="7"/>
        <v>3615068.1103715389</v>
      </c>
      <c r="I31" s="51">
        <f t="shared" si="3"/>
        <v>861089430.03238046</v>
      </c>
      <c r="J31" s="51">
        <f>SUM($H$17:$H31)</f>
        <v>57019198.539786145</v>
      </c>
      <c r="K31" s="12"/>
      <c r="L31" s="295" t="s">
        <v>0</v>
      </c>
    </row>
    <row r="32" spans="1:13">
      <c r="A32" s="53">
        <f t="shared" si="4"/>
        <v>16</v>
      </c>
      <c r="B32" s="49">
        <f t="shared" si="0"/>
        <v>43586</v>
      </c>
      <c r="C32" s="50">
        <f t="shared" si="5"/>
        <v>861089430.03238046</v>
      </c>
      <c r="D32" s="51">
        <f t="shared" si="8"/>
        <v>10141984.567160374</v>
      </c>
      <c r="E32" s="52">
        <f t="shared" si="1"/>
        <v>0</v>
      </c>
      <c r="F32" s="51">
        <f t="shared" si="2"/>
        <v>10141984.567160374</v>
      </c>
      <c r="G32" s="51">
        <f t="shared" si="6"/>
        <v>6554111.9420254547</v>
      </c>
      <c r="H32" s="51">
        <f t="shared" si="7"/>
        <v>3587872.6251349188</v>
      </c>
      <c r="I32" s="51">
        <f t="shared" si="3"/>
        <v>854535318.09035504</v>
      </c>
      <c r="J32" s="51">
        <f>SUM($H$17:$H32)</f>
        <v>60607071.16492106</v>
      </c>
      <c r="K32" s="12"/>
    </row>
    <row r="33" spans="1:11">
      <c r="A33" s="53">
        <f t="shared" si="4"/>
        <v>17</v>
      </c>
      <c r="B33" s="49">
        <f t="shared" si="0"/>
        <v>43617</v>
      </c>
      <c r="C33" s="50">
        <f t="shared" si="5"/>
        <v>854535318.09035504</v>
      </c>
      <c r="D33" s="51">
        <f t="shared" si="8"/>
        <v>10141984.567160374</v>
      </c>
      <c r="E33" s="52">
        <f t="shared" si="1"/>
        <v>0</v>
      </c>
      <c r="F33" s="51">
        <f t="shared" si="2"/>
        <v>10141984.567160374</v>
      </c>
      <c r="G33" s="51">
        <f t="shared" si="6"/>
        <v>6581420.7417838946</v>
      </c>
      <c r="H33" s="51">
        <f t="shared" si="7"/>
        <v>3560563.8253764794</v>
      </c>
      <c r="I33" s="51">
        <f t="shared" si="3"/>
        <v>847953897.34857118</v>
      </c>
      <c r="J33" s="51">
        <f>SUM($H$17:$H33)</f>
        <v>64167634.990297541</v>
      </c>
      <c r="K33" s="12" t="s">
        <v>0</v>
      </c>
    </row>
    <row r="34" spans="1:11">
      <c r="A34" s="53">
        <f t="shared" si="4"/>
        <v>18</v>
      </c>
      <c r="B34" s="49">
        <f t="shared" si="0"/>
        <v>43647</v>
      </c>
      <c r="C34" s="50">
        <f t="shared" si="5"/>
        <v>847953897.34857118</v>
      </c>
      <c r="D34" s="51">
        <f t="shared" si="8"/>
        <v>10141984.567160374</v>
      </c>
      <c r="E34" s="52">
        <f t="shared" si="1"/>
        <v>0</v>
      </c>
      <c r="F34" s="51">
        <f t="shared" si="2"/>
        <v>10141984.567160374</v>
      </c>
      <c r="G34" s="51">
        <f t="shared" si="6"/>
        <v>6608843.3282079939</v>
      </c>
      <c r="H34" s="51">
        <f t="shared" si="7"/>
        <v>3533141.2389523801</v>
      </c>
      <c r="I34" s="51">
        <f t="shared" si="3"/>
        <v>841345054.02036321</v>
      </c>
      <c r="J34" s="51">
        <f>SUM($H$17:$H34)</f>
        <v>67700776.229249924</v>
      </c>
      <c r="K34" s="12"/>
    </row>
    <row r="35" spans="1:11">
      <c r="A35" s="53">
        <f t="shared" si="4"/>
        <v>19</v>
      </c>
      <c r="B35" s="49">
        <f t="shared" si="0"/>
        <v>43678</v>
      </c>
      <c r="C35" s="50">
        <f t="shared" si="5"/>
        <v>841345054.02036321</v>
      </c>
      <c r="D35" s="51">
        <f t="shared" si="8"/>
        <v>10141984.567160374</v>
      </c>
      <c r="E35" s="52">
        <f t="shared" si="1"/>
        <v>0</v>
      </c>
      <c r="F35" s="51">
        <f t="shared" si="2"/>
        <v>10141984.567160374</v>
      </c>
      <c r="G35" s="51">
        <f t="shared" si="6"/>
        <v>6636380.1754088607</v>
      </c>
      <c r="H35" s="51">
        <f t="shared" si="7"/>
        <v>3505604.3917515134</v>
      </c>
      <c r="I35" s="51">
        <f t="shared" si="3"/>
        <v>834708673.84495437</v>
      </c>
      <c r="J35" s="51">
        <f>SUM($H$17:$H35)</f>
        <v>71206380.621001437</v>
      </c>
      <c r="K35" s="12"/>
    </row>
    <row r="36" spans="1:11">
      <c r="A36" s="53">
        <f t="shared" si="4"/>
        <v>20</v>
      </c>
      <c r="B36" s="49">
        <f t="shared" si="0"/>
        <v>43709</v>
      </c>
      <c r="C36" s="50">
        <f t="shared" si="5"/>
        <v>834708673.84495437</v>
      </c>
      <c r="D36" s="51">
        <f t="shared" si="8"/>
        <v>10141984.567160374</v>
      </c>
      <c r="E36" s="52">
        <f t="shared" si="1"/>
        <v>0</v>
      </c>
      <c r="F36" s="51">
        <f t="shared" si="2"/>
        <v>10141984.567160374</v>
      </c>
      <c r="G36" s="51">
        <f t="shared" si="6"/>
        <v>6664031.7594730631</v>
      </c>
      <c r="H36" s="51">
        <f t="shared" si="7"/>
        <v>3477952.80768731</v>
      </c>
      <c r="I36" s="51">
        <f t="shared" si="3"/>
        <v>828044642.08548129</v>
      </c>
      <c r="J36" s="51">
        <f>SUM($H$17:$H36)</f>
        <v>74684333.42868875</v>
      </c>
      <c r="K36" s="12"/>
    </row>
    <row r="37" spans="1:11">
      <c r="A37" s="53">
        <f t="shared" si="4"/>
        <v>21</v>
      </c>
      <c r="B37" s="49">
        <f t="shared" si="0"/>
        <v>43739</v>
      </c>
      <c r="C37" s="50">
        <f t="shared" si="5"/>
        <v>828044642.08548129</v>
      </c>
      <c r="D37" s="51">
        <f t="shared" si="8"/>
        <v>10141984.567160374</v>
      </c>
      <c r="E37" s="52">
        <f t="shared" si="1"/>
        <v>0</v>
      </c>
      <c r="F37" s="51">
        <f t="shared" si="2"/>
        <v>10141984.567160374</v>
      </c>
      <c r="G37" s="51">
        <f t="shared" si="6"/>
        <v>6691798.5584708676</v>
      </c>
      <c r="H37" s="51">
        <f t="shared" si="7"/>
        <v>3450186.0086895055</v>
      </c>
      <c r="I37" s="51">
        <f t="shared" si="3"/>
        <v>821352843.52701044</v>
      </c>
      <c r="J37" s="51">
        <f>SUM($H$17:$H37)</f>
        <v>78134519.437378258</v>
      </c>
      <c r="K37" s="12"/>
    </row>
    <row r="38" spans="1:11">
      <c r="A38" s="53">
        <f t="shared" si="4"/>
        <v>22</v>
      </c>
      <c r="B38" s="49">
        <f t="shared" si="0"/>
        <v>43770</v>
      </c>
      <c r="C38" s="50">
        <f t="shared" si="5"/>
        <v>821352843.52701044</v>
      </c>
      <c r="D38" s="51">
        <f t="shared" si="8"/>
        <v>10141984.567160374</v>
      </c>
      <c r="E38" s="52">
        <f t="shared" si="1"/>
        <v>0</v>
      </c>
      <c r="F38" s="51">
        <f t="shared" si="2"/>
        <v>10141984.567160374</v>
      </c>
      <c r="G38" s="51">
        <f t="shared" si="6"/>
        <v>6719681.0524644963</v>
      </c>
      <c r="H38" s="51">
        <f t="shared" si="7"/>
        <v>3422303.5146958772</v>
      </c>
      <c r="I38" s="51">
        <f t="shared" si="3"/>
        <v>814633162.47454596</v>
      </c>
      <c r="J38" s="51">
        <f>SUM($H$17:$H38)</f>
        <v>81556822.95207414</v>
      </c>
      <c r="K38" s="12"/>
    </row>
    <row r="39" spans="1:11">
      <c r="A39" s="53">
        <f t="shared" si="4"/>
        <v>23</v>
      </c>
      <c r="B39" s="49">
        <f t="shared" si="0"/>
        <v>43800</v>
      </c>
      <c r="C39" s="50">
        <f t="shared" si="5"/>
        <v>814633162.47454596</v>
      </c>
      <c r="D39" s="51">
        <f t="shared" si="8"/>
        <v>10141984.567160374</v>
      </c>
      <c r="E39" s="52">
        <f t="shared" si="1"/>
        <v>0</v>
      </c>
      <c r="F39" s="51">
        <f t="shared" si="2"/>
        <v>10141984.567160374</v>
      </c>
      <c r="G39" s="51">
        <f t="shared" si="6"/>
        <v>6747679.7235164326</v>
      </c>
      <c r="H39" s="51">
        <f t="shared" si="7"/>
        <v>3394304.8436439415</v>
      </c>
      <c r="I39" s="51">
        <f t="shared" si="3"/>
        <v>807885482.75102949</v>
      </c>
      <c r="J39" s="51">
        <f>SUM($H$17:$H39)</f>
        <v>84951127.795718089</v>
      </c>
      <c r="K39" s="12"/>
    </row>
    <row r="40" spans="1:11">
      <c r="A40" s="53">
        <f t="shared" si="4"/>
        <v>24</v>
      </c>
      <c r="B40" s="49">
        <f t="shared" si="0"/>
        <v>43831</v>
      </c>
      <c r="C40" s="50">
        <f t="shared" si="5"/>
        <v>807885482.75102949</v>
      </c>
      <c r="D40" s="51">
        <f t="shared" si="8"/>
        <v>10141984.567160374</v>
      </c>
      <c r="E40" s="52">
        <f t="shared" si="1"/>
        <v>0</v>
      </c>
      <c r="F40" s="51">
        <f t="shared" si="2"/>
        <v>10141984.567160374</v>
      </c>
      <c r="G40" s="51">
        <f t="shared" si="6"/>
        <v>6775795.0556977503</v>
      </c>
      <c r="H40" s="51">
        <f t="shared" si="7"/>
        <v>3366189.5114626233</v>
      </c>
      <c r="I40" s="51">
        <f t="shared" si="3"/>
        <v>801109687.69533169</v>
      </c>
      <c r="J40" s="51">
        <f>SUM($H$17:$H40)</f>
        <v>88317317.307180718</v>
      </c>
      <c r="K40" s="12"/>
    </row>
    <row r="41" spans="1:11">
      <c r="A41" s="53">
        <f t="shared" si="4"/>
        <v>25</v>
      </c>
      <c r="B41" s="49">
        <f t="shared" si="0"/>
        <v>43862</v>
      </c>
      <c r="C41" s="50">
        <f t="shared" si="5"/>
        <v>801109687.69533169</v>
      </c>
      <c r="D41" s="51">
        <f t="shared" si="8"/>
        <v>10141984.567160374</v>
      </c>
      <c r="E41" s="52">
        <f t="shared" si="1"/>
        <v>0</v>
      </c>
      <c r="F41" s="51">
        <f t="shared" si="2"/>
        <v>10141984.567160374</v>
      </c>
      <c r="G41" s="51">
        <f t="shared" si="6"/>
        <v>6804027.5350964908</v>
      </c>
      <c r="H41" s="51">
        <f t="shared" si="7"/>
        <v>3337957.0320638823</v>
      </c>
      <c r="I41" s="51">
        <f t="shared" si="3"/>
        <v>794305660.16023517</v>
      </c>
      <c r="J41" s="51">
        <f>SUM($H$17:$H41)</f>
        <v>91655274.339244604</v>
      </c>
      <c r="K41" s="12"/>
    </row>
    <row r="42" spans="1:11">
      <c r="A42" s="53">
        <f t="shared" si="4"/>
        <v>26</v>
      </c>
      <c r="B42" s="49">
        <f t="shared" si="0"/>
        <v>43891</v>
      </c>
      <c r="C42" s="50">
        <f t="shared" si="5"/>
        <v>794305660.16023517</v>
      </c>
      <c r="D42" s="51">
        <f t="shared" si="8"/>
        <v>10141984.567160374</v>
      </c>
      <c r="E42" s="52">
        <f t="shared" si="1"/>
        <v>0</v>
      </c>
      <c r="F42" s="51">
        <f t="shared" si="2"/>
        <v>10141984.567160374</v>
      </c>
      <c r="G42" s="51">
        <f t="shared" si="6"/>
        <v>6832377.649826061</v>
      </c>
      <c r="H42" s="51">
        <f t="shared" si="7"/>
        <v>3309606.917334313</v>
      </c>
      <c r="I42" s="51">
        <f t="shared" si="3"/>
        <v>787473282.51040912</v>
      </c>
      <c r="J42" s="51">
        <f>SUM($H$17:$H42)</f>
        <v>94964881.256578922</v>
      </c>
      <c r="K42" s="12"/>
    </row>
    <row r="43" spans="1:11">
      <c r="A43" s="53">
        <f t="shared" si="4"/>
        <v>27</v>
      </c>
      <c r="B43" s="49">
        <f t="shared" si="0"/>
        <v>43922</v>
      </c>
      <c r="C43" s="50">
        <f t="shared" si="5"/>
        <v>787473282.51040912</v>
      </c>
      <c r="D43" s="51">
        <f t="shared" si="8"/>
        <v>10141984.567160374</v>
      </c>
      <c r="E43" s="52">
        <f t="shared" si="1"/>
        <v>0</v>
      </c>
      <c r="F43" s="51">
        <f t="shared" si="2"/>
        <v>10141984.567160374</v>
      </c>
      <c r="G43" s="51">
        <f t="shared" si="6"/>
        <v>6860845.8900336679</v>
      </c>
      <c r="H43" s="51">
        <f t="shared" si="7"/>
        <v>3281138.6771267052</v>
      </c>
      <c r="I43" s="51">
        <f t="shared" si="3"/>
        <v>780612436.62037539</v>
      </c>
      <c r="J43" s="51">
        <f>SUM($H$17:$H43)</f>
        <v>98246019.933705628</v>
      </c>
      <c r="K43" s="12"/>
    </row>
    <row r="44" spans="1:11">
      <c r="A44" s="53">
        <f t="shared" si="4"/>
        <v>28</v>
      </c>
      <c r="B44" s="49">
        <f t="shared" si="0"/>
        <v>43952</v>
      </c>
      <c r="C44" s="50">
        <f t="shared" si="5"/>
        <v>780612436.62037539</v>
      </c>
      <c r="D44" s="51">
        <f t="shared" si="8"/>
        <v>10141984.567160374</v>
      </c>
      <c r="E44" s="52">
        <f t="shared" si="1"/>
        <v>0</v>
      </c>
      <c r="F44" s="51">
        <f t="shared" si="2"/>
        <v>10141984.567160374</v>
      </c>
      <c r="G44" s="51">
        <f t="shared" si="6"/>
        <v>6889432.7479088102</v>
      </c>
      <c r="H44" s="51">
        <f t="shared" si="7"/>
        <v>3252551.8192515639</v>
      </c>
      <c r="I44" s="51">
        <f t="shared" si="3"/>
        <v>773723003.87246656</v>
      </c>
      <c r="J44" s="51">
        <f>SUM($H$17:$H44)</f>
        <v>101498571.7529572</v>
      </c>
      <c r="K44" s="12"/>
    </row>
    <row r="45" spans="1:11">
      <c r="A45" s="53">
        <f t="shared" si="4"/>
        <v>29</v>
      </c>
      <c r="B45" s="49">
        <f t="shared" si="0"/>
        <v>43983</v>
      </c>
      <c r="C45" s="50">
        <f t="shared" si="5"/>
        <v>773723003.87246656</v>
      </c>
      <c r="D45" s="51">
        <f t="shared" si="8"/>
        <v>10141984.567160374</v>
      </c>
      <c r="E45" s="52">
        <f t="shared" si="1"/>
        <v>0</v>
      </c>
      <c r="F45" s="51">
        <f t="shared" si="2"/>
        <v>10141984.567160374</v>
      </c>
      <c r="G45" s="51">
        <f t="shared" si="6"/>
        <v>6918138.7176917624</v>
      </c>
      <c r="H45" s="51">
        <f t="shared" si="7"/>
        <v>3223845.8494686107</v>
      </c>
      <c r="I45" s="51">
        <f t="shared" si="3"/>
        <v>766804865.15477479</v>
      </c>
      <c r="J45" s="51">
        <f>SUM($H$17:$H45)</f>
        <v>104722417.6024258</v>
      </c>
      <c r="K45" s="12"/>
    </row>
    <row r="46" spans="1:11">
      <c r="A46" s="53">
        <f t="shared" si="4"/>
        <v>30</v>
      </c>
      <c r="B46" s="49">
        <f t="shared" si="0"/>
        <v>44013</v>
      </c>
      <c r="C46" s="50">
        <f t="shared" si="5"/>
        <v>766804865.15477479</v>
      </c>
      <c r="D46" s="51">
        <f t="shared" si="8"/>
        <v>10141984.567160374</v>
      </c>
      <c r="E46" s="52">
        <f t="shared" si="1"/>
        <v>0</v>
      </c>
      <c r="F46" s="51">
        <f t="shared" si="2"/>
        <v>10141984.567160374</v>
      </c>
      <c r="G46" s="51">
        <f t="shared" si="6"/>
        <v>6946964.2956821453</v>
      </c>
      <c r="H46" s="51">
        <f t="shared" si="7"/>
        <v>3195020.2714782283</v>
      </c>
      <c r="I46" s="51">
        <f t="shared" si="3"/>
        <v>759857900.85909259</v>
      </c>
      <c r="J46" s="51">
        <f>SUM($H$17:$H46)</f>
        <v>107917437.87390402</v>
      </c>
      <c r="K46" s="12"/>
    </row>
    <row r="47" spans="1:11">
      <c r="A47" s="53">
        <f t="shared" si="4"/>
        <v>31</v>
      </c>
      <c r="B47" s="49">
        <f t="shared" si="0"/>
        <v>44044</v>
      </c>
      <c r="C47" s="50">
        <f t="shared" si="5"/>
        <v>759857900.85909259</v>
      </c>
      <c r="D47" s="51">
        <f t="shared" si="8"/>
        <v>10141984.567160374</v>
      </c>
      <c r="E47" s="52">
        <f t="shared" si="1"/>
        <v>0</v>
      </c>
      <c r="F47" s="51">
        <f t="shared" si="2"/>
        <v>10141984.567160374</v>
      </c>
      <c r="G47" s="51">
        <f t="shared" si="6"/>
        <v>6975909.9802474882</v>
      </c>
      <c r="H47" s="51">
        <f t="shared" si="7"/>
        <v>3166074.5869128858</v>
      </c>
      <c r="I47" s="51">
        <f t="shared" si="3"/>
        <v>752881990.8788451</v>
      </c>
      <c r="J47" s="51">
        <f>SUM($H$17:$H47)</f>
        <v>111083512.4608169</v>
      </c>
      <c r="K47" s="12"/>
    </row>
    <row r="48" spans="1:11">
      <c r="A48" s="53">
        <f t="shared" si="4"/>
        <v>32</v>
      </c>
      <c r="B48" s="49">
        <f t="shared" si="0"/>
        <v>44075</v>
      </c>
      <c r="C48" s="50">
        <f t="shared" si="5"/>
        <v>752881990.8788451</v>
      </c>
      <c r="D48" s="51">
        <f t="shared" si="8"/>
        <v>10141984.567160374</v>
      </c>
      <c r="E48" s="52">
        <f t="shared" si="1"/>
        <v>0</v>
      </c>
      <c r="F48" s="51">
        <f t="shared" si="2"/>
        <v>10141984.567160374</v>
      </c>
      <c r="G48" s="51">
        <f t="shared" si="6"/>
        <v>7004976.2718318515</v>
      </c>
      <c r="H48" s="51">
        <f t="shared" si="7"/>
        <v>3137008.2953285216</v>
      </c>
      <c r="I48" s="51">
        <f t="shared" si="3"/>
        <v>745877014.60701323</v>
      </c>
      <c r="J48" s="51">
        <f>SUM($H$17:$H48)</f>
        <v>114220520.75614543</v>
      </c>
      <c r="K48" s="12"/>
    </row>
    <row r="49" spans="1:11">
      <c r="A49" s="53">
        <f t="shared" si="4"/>
        <v>33</v>
      </c>
      <c r="B49" s="49">
        <f t="shared" si="0"/>
        <v>44105</v>
      </c>
      <c r="C49" s="50">
        <f t="shared" si="5"/>
        <v>745877014.60701323</v>
      </c>
      <c r="D49" s="51">
        <f t="shared" si="8"/>
        <v>10141984.567160374</v>
      </c>
      <c r="E49" s="52">
        <f t="shared" si="1"/>
        <v>0</v>
      </c>
      <c r="F49" s="51">
        <f t="shared" si="2"/>
        <v>10141984.567160374</v>
      </c>
      <c r="G49" s="51">
        <f t="shared" si="6"/>
        <v>7034163.6729644854</v>
      </c>
      <c r="H49" s="51">
        <f t="shared" si="7"/>
        <v>3107820.8941958887</v>
      </c>
      <c r="I49" s="51">
        <f t="shared" si="3"/>
        <v>738842850.93404877</v>
      </c>
      <c r="J49" s="51">
        <f>SUM($H$17:$H49)</f>
        <v>117328341.65034132</v>
      </c>
      <c r="K49" s="12"/>
    </row>
    <row r="50" spans="1:11">
      <c r="A50" s="53">
        <f t="shared" si="4"/>
        <v>34</v>
      </c>
      <c r="B50" s="49">
        <f t="shared" si="0"/>
        <v>44136</v>
      </c>
      <c r="C50" s="50">
        <f t="shared" si="5"/>
        <v>738842850.93404877</v>
      </c>
      <c r="D50" s="51">
        <f t="shared" si="8"/>
        <v>10141984.567160374</v>
      </c>
      <c r="E50" s="52">
        <f t="shared" si="1"/>
        <v>0</v>
      </c>
      <c r="F50" s="51">
        <f t="shared" si="2"/>
        <v>10141984.567160374</v>
      </c>
      <c r="G50" s="51">
        <f t="shared" si="6"/>
        <v>7063472.6882685032</v>
      </c>
      <c r="H50" s="51">
        <f t="shared" si="7"/>
        <v>3078511.8788918699</v>
      </c>
      <c r="I50" s="51">
        <f t="shared" si="3"/>
        <v>731779378.24578023</v>
      </c>
      <c r="J50" s="51">
        <f>SUM($H$17:$H50)</f>
        <v>120406853.52923319</v>
      </c>
      <c r="K50" s="12"/>
    </row>
    <row r="51" spans="1:11">
      <c r="A51" s="53">
        <f t="shared" si="4"/>
        <v>35</v>
      </c>
      <c r="B51" s="49">
        <f t="shared" si="0"/>
        <v>44166</v>
      </c>
      <c r="C51" s="50">
        <f t="shared" si="5"/>
        <v>731779378.24578023</v>
      </c>
      <c r="D51" s="51">
        <f t="shared" si="8"/>
        <v>10141984.567160374</v>
      </c>
      <c r="E51" s="52">
        <f t="shared" si="1"/>
        <v>0</v>
      </c>
      <c r="F51" s="51">
        <f t="shared" si="2"/>
        <v>10141984.567160374</v>
      </c>
      <c r="G51" s="51">
        <f t="shared" si="6"/>
        <v>7092903.8244696222</v>
      </c>
      <c r="H51" s="51">
        <f t="shared" si="7"/>
        <v>3049080.7426907513</v>
      </c>
      <c r="I51" s="51">
        <f t="shared" si="3"/>
        <v>724686474.42131066</v>
      </c>
      <c r="J51" s="51">
        <f>SUM($H$17:$H51)</f>
        <v>123455934.27192394</v>
      </c>
      <c r="K51" s="12"/>
    </row>
    <row r="52" spans="1:11">
      <c r="A52" s="53">
        <f t="shared" si="4"/>
        <v>36</v>
      </c>
      <c r="B52" s="49">
        <f t="shared" si="0"/>
        <v>44197</v>
      </c>
      <c r="C52" s="50">
        <f t="shared" si="5"/>
        <v>724686474.42131066</v>
      </c>
      <c r="D52" s="51">
        <f t="shared" si="8"/>
        <v>10141984.567160374</v>
      </c>
      <c r="E52" s="52">
        <f t="shared" si="1"/>
        <v>0</v>
      </c>
      <c r="F52" s="51">
        <f t="shared" si="2"/>
        <v>10141984.567160374</v>
      </c>
      <c r="G52" s="51">
        <f t="shared" si="6"/>
        <v>7122457.5904049128</v>
      </c>
      <c r="H52" s="51">
        <f t="shared" si="7"/>
        <v>3019526.9767554612</v>
      </c>
      <c r="I52" s="51">
        <f t="shared" si="3"/>
        <v>717564016.8309058</v>
      </c>
      <c r="J52" s="51">
        <f>SUM($H$17:$H52)</f>
        <v>126475461.2486794</v>
      </c>
      <c r="K52" s="12"/>
    </row>
    <row r="53" spans="1:11">
      <c r="A53" s="53">
        <f t="shared" si="4"/>
        <v>37</v>
      </c>
      <c r="B53" s="49">
        <f t="shared" si="0"/>
        <v>44228</v>
      </c>
      <c r="C53" s="50">
        <f t="shared" si="5"/>
        <v>717564016.8309058</v>
      </c>
      <c r="D53" s="51">
        <f t="shared" si="8"/>
        <v>10141984.567160374</v>
      </c>
      <c r="E53" s="52">
        <f t="shared" si="1"/>
        <v>0</v>
      </c>
      <c r="F53" s="51">
        <f t="shared" si="2"/>
        <v>10141984.567160374</v>
      </c>
      <c r="G53" s="51">
        <f t="shared" si="6"/>
        <v>7152134.4970315993</v>
      </c>
      <c r="H53" s="51">
        <f t="shared" si="7"/>
        <v>2989850.0701287743</v>
      </c>
      <c r="I53" s="51">
        <f t="shared" si="3"/>
        <v>710411882.33387423</v>
      </c>
      <c r="J53" s="51">
        <f>SUM($H$17:$H53)</f>
        <v>129465311.31880817</v>
      </c>
      <c r="K53" s="12"/>
    </row>
    <row r="54" spans="1:11">
      <c r="A54" s="53">
        <f t="shared" si="4"/>
        <v>38</v>
      </c>
      <c r="B54" s="49">
        <f t="shared" si="0"/>
        <v>44256</v>
      </c>
      <c r="C54" s="50">
        <f t="shared" si="5"/>
        <v>710411882.33387423</v>
      </c>
      <c r="D54" s="51">
        <f t="shared" si="8"/>
        <v>10141984.567160374</v>
      </c>
      <c r="E54" s="52">
        <f t="shared" si="1"/>
        <v>0</v>
      </c>
      <c r="F54" s="51">
        <f t="shared" si="2"/>
        <v>10141984.567160374</v>
      </c>
      <c r="G54" s="51">
        <f t="shared" si="6"/>
        <v>7181935.0574358981</v>
      </c>
      <c r="H54" s="51">
        <f t="shared" si="7"/>
        <v>2960049.5097244759</v>
      </c>
      <c r="I54" s="51">
        <f t="shared" si="3"/>
        <v>703229947.27643836</v>
      </c>
      <c r="J54" s="51">
        <f>SUM($H$17:$H54)</f>
        <v>132425360.82853265</v>
      </c>
      <c r="K54" s="12"/>
    </row>
    <row r="55" spans="1:11">
      <c r="A55" s="53">
        <f t="shared" si="4"/>
        <v>39</v>
      </c>
      <c r="B55" s="49">
        <f t="shared" si="0"/>
        <v>44287</v>
      </c>
      <c r="C55" s="50">
        <f t="shared" si="5"/>
        <v>703229947.27643836</v>
      </c>
      <c r="D55" s="51">
        <f t="shared" si="8"/>
        <v>10141984.567160374</v>
      </c>
      <c r="E55" s="52">
        <f t="shared" si="1"/>
        <v>0</v>
      </c>
      <c r="F55" s="51">
        <f t="shared" si="2"/>
        <v>10141984.567160374</v>
      </c>
      <c r="G55" s="51">
        <f t="shared" si="6"/>
        <v>7211859.7868418805</v>
      </c>
      <c r="H55" s="51">
        <f t="shared" si="7"/>
        <v>2930124.780318493</v>
      </c>
      <c r="I55" s="51">
        <f t="shared" si="3"/>
        <v>696018087.48959649</v>
      </c>
      <c r="J55" s="51">
        <f>SUM($H$17:$H55)</f>
        <v>135355485.60885113</v>
      </c>
      <c r="K55" s="12"/>
    </row>
    <row r="56" spans="1:11">
      <c r="A56" s="53">
        <f t="shared" si="4"/>
        <v>40</v>
      </c>
      <c r="B56" s="49">
        <f t="shared" si="0"/>
        <v>44317</v>
      </c>
      <c r="C56" s="50">
        <f t="shared" si="5"/>
        <v>696018087.48959649</v>
      </c>
      <c r="D56" s="51">
        <f t="shared" si="8"/>
        <v>10141984.567160374</v>
      </c>
      <c r="E56" s="52">
        <f t="shared" si="1"/>
        <v>0</v>
      </c>
      <c r="F56" s="51">
        <f t="shared" si="2"/>
        <v>10141984.567160374</v>
      </c>
      <c r="G56" s="51">
        <f t="shared" si="6"/>
        <v>7241909.2026203889</v>
      </c>
      <c r="H56" s="51">
        <f t="shared" si="7"/>
        <v>2900075.3645399851</v>
      </c>
      <c r="I56" s="51">
        <f t="shared" si="3"/>
        <v>688776178.2869761</v>
      </c>
      <c r="J56" s="51">
        <f>SUM($H$17:$H56)</f>
        <v>138255560.97339112</v>
      </c>
      <c r="K56" s="12"/>
    </row>
    <row r="57" spans="1:11">
      <c r="A57" s="53">
        <f t="shared" si="4"/>
        <v>41</v>
      </c>
      <c r="B57" s="49">
        <f t="shared" si="0"/>
        <v>44348</v>
      </c>
      <c r="C57" s="50">
        <f t="shared" si="5"/>
        <v>688776178.2869761</v>
      </c>
      <c r="D57" s="51">
        <f t="shared" si="8"/>
        <v>10141984.567160374</v>
      </c>
      <c r="E57" s="52">
        <f t="shared" si="1"/>
        <v>0</v>
      </c>
      <c r="F57" s="51">
        <f t="shared" si="2"/>
        <v>10141984.567160374</v>
      </c>
      <c r="G57" s="51">
        <f t="shared" si="6"/>
        <v>7272083.8242979739</v>
      </c>
      <c r="H57" s="51">
        <f t="shared" si="7"/>
        <v>2869900.7428624001</v>
      </c>
      <c r="I57" s="51">
        <f t="shared" si="3"/>
        <v>681504094.46267807</v>
      </c>
      <c r="J57" s="51">
        <f>SUM($H$17:$H57)</f>
        <v>141125461.71625352</v>
      </c>
      <c r="K57" s="12"/>
    </row>
    <row r="58" spans="1:11">
      <c r="A58" s="53">
        <f t="shared" si="4"/>
        <v>42</v>
      </c>
      <c r="B58" s="49">
        <f t="shared" si="0"/>
        <v>44378</v>
      </c>
      <c r="C58" s="50">
        <f t="shared" si="5"/>
        <v>681504094.46267807</v>
      </c>
      <c r="D58" s="51">
        <f t="shared" si="8"/>
        <v>10141984.567160374</v>
      </c>
      <c r="E58" s="52">
        <f t="shared" si="1"/>
        <v>0</v>
      </c>
      <c r="F58" s="51">
        <f t="shared" si="2"/>
        <v>10141984.567160374</v>
      </c>
      <c r="G58" s="51">
        <f t="shared" si="6"/>
        <v>7302384.1735658813</v>
      </c>
      <c r="H58" s="51">
        <f t="shared" si="7"/>
        <v>2839600.3935944922</v>
      </c>
      <c r="I58" s="51">
        <f t="shared" si="3"/>
        <v>674201710.28911221</v>
      </c>
      <c r="J58" s="51">
        <f>SUM($H$17:$H58)</f>
        <v>143965062.10984802</v>
      </c>
      <c r="K58" s="12"/>
    </row>
    <row r="59" spans="1:11">
      <c r="A59" s="53">
        <f t="shared" si="4"/>
        <v>43</v>
      </c>
      <c r="B59" s="49">
        <f t="shared" si="0"/>
        <v>44409</v>
      </c>
      <c r="C59" s="50">
        <f t="shared" si="5"/>
        <v>674201710.28911221</v>
      </c>
      <c r="D59" s="51">
        <f t="shared" si="8"/>
        <v>10141984.567160374</v>
      </c>
      <c r="E59" s="52">
        <f t="shared" si="1"/>
        <v>0</v>
      </c>
      <c r="F59" s="51">
        <f t="shared" si="2"/>
        <v>10141984.567160374</v>
      </c>
      <c r="G59" s="51">
        <f t="shared" si="6"/>
        <v>7332810.7742890734</v>
      </c>
      <c r="H59" s="51">
        <f t="shared" si="7"/>
        <v>2809173.7928713006</v>
      </c>
      <c r="I59" s="51">
        <f t="shared" si="3"/>
        <v>666868899.51482308</v>
      </c>
      <c r="J59" s="51">
        <f>SUM($H$17:$H59)</f>
        <v>146774235.90271932</v>
      </c>
      <c r="K59" s="12"/>
    </row>
    <row r="60" spans="1:11">
      <c r="A60" s="53">
        <f t="shared" si="4"/>
        <v>44</v>
      </c>
      <c r="B60" s="49">
        <f t="shared" si="0"/>
        <v>44440</v>
      </c>
      <c r="C60" s="50">
        <f t="shared" si="5"/>
        <v>666868899.51482308</v>
      </c>
      <c r="D60" s="51">
        <f t="shared" si="8"/>
        <v>10141984.567160374</v>
      </c>
      <c r="E60" s="52">
        <f t="shared" si="1"/>
        <v>0</v>
      </c>
      <c r="F60" s="51">
        <f t="shared" si="2"/>
        <v>10141984.567160374</v>
      </c>
      <c r="G60" s="51">
        <f t="shared" si="6"/>
        <v>7363364.1525152773</v>
      </c>
      <c r="H60" s="51">
        <f t="shared" si="7"/>
        <v>2778620.4146450963</v>
      </c>
      <c r="I60" s="51">
        <f t="shared" si="3"/>
        <v>659505535.36230779</v>
      </c>
      <c r="J60" s="51">
        <f>SUM($H$17:$H60)</f>
        <v>149552856.31736442</v>
      </c>
      <c r="K60" s="12"/>
    </row>
    <row r="61" spans="1:11">
      <c r="A61" s="53">
        <f t="shared" si="4"/>
        <v>45</v>
      </c>
      <c r="B61" s="49">
        <f t="shared" si="0"/>
        <v>44470</v>
      </c>
      <c r="C61" s="50">
        <f t="shared" si="5"/>
        <v>659505535.36230779</v>
      </c>
      <c r="D61" s="51">
        <f t="shared" si="8"/>
        <v>10141984.567160374</v>
      </c>
      <c r="E61" s="52">
        <f t="shared" si="1"/>
        <v>0</v>
      </c>
      <c r="F61" s="51">
        <f t="shared" si="2"/>
        <v>10141984.567160374</v>
      </c>
      <c r="G61" s="51">
        <f t="shared" si="6"/>
        <v>7394044.8364840914</v>
      </c>
      <c r="H61" s="51">
        <f t="shared" si="7"/>
        <v>2747939.7306762827</v>
      </c>
      <c r="I61" s="51">
        <f t="shared" si="3"/>
        <v>652111490.52582371</v>
      </c>
      <c r="J61" s="51">
        <f>SUM($H$17:$H61)</f>
        <v>152300796.04804072</v>
      </c>
      <c r="K61" s="12"/>
    </row>
    <row r="62" spans="1:11">
      <c r="A62" s="53">
        <f t="shared" si="4"/>
        <v>46</v>
      </c>
      <c r="B62" s="49">
        <f t="shared" si="0"/>
        <v>44501</v>
      </c>
      <c r="C62" s="50">
        <f t="shared" si="5"/>
        <v>652111490.52582371</v>
      </c>
      <c r="D62" s="51">
        <f t="shared" si="8"/>
        <v>10141984.567160374</v>
      </c>
      <c r="E62" s="52">
        <f t="shared" si="1"/>
        <v>0</v>
      </c>
      <c r="F62" s="51">
        <f t="shared" si="2"/>
        <v>10141984.567160374</v>
      </c>
      <c r="G62" s="51">
        <f t="shared" si="6"/>
        <v>7424853.3566361079</v>
      </c>
      <c r="H62" s="51">
        <f t="shared" si="7"/>
        <v>2717131.2105242657</v>
      </c>
      <c r="I62" s="51">
        <f t="shared" si="3"/>
        <v>644686637.16918755</v>
      </c>
      <c r="J62" s="51">
        <f>SUM($H$17:$H62)</f>
        <v>155017927.25856498</v>
      </c>
      <c r="K62" s="12"/>
    </row>
    <row r="63" spans="1:11">
      <c r="A63" s="53">
        <f t="shared" si="4"/>
        <v>47</v>
      </c>
      <c r="B63" s="49">
        <f t="shared" si="0"/>
        <v>44531</v>
      </c>
      <c r="C63" s="50">
        <f t="shared" si="5"/>
        <v>644686637.16918755</v>
      </c>
      <c r="D63" s="51">
        <f t="shared" si="8"/>
        <v>10141984.567160374</v>
      </c>
      <c r="E63" s="52">
        <f t="shared" si="1"/>
        <v>0</v>
      </c>
      <c r="F63" s="51">
        <f t="shared" si="2"/>
        <v>10141984.567160374</v>
      </c>
      <c r="G63" s="51">
        <f t="shared" si="6"/>
        <v>7455790.2456220919</v>
      </c>
      <c r="H63" s="51">
        <f t="shared" si="7"/>
        <v>2686194.3215382816</v>
      </c>
      <c r="I63" s="51">
        <f t="shared" si="3"/>
        <v>637230846.92356551</v>
      </c>
      <c r="J63" s="51">
        <f>SUM($H$17:$H63)</f>
        <v>157704121.58010325</v>
      </c>
      <c r="K63" s="12"/>
    </row>
    <row r="64" spans="1:11">
      <c r="A64" s="53">
        <f t="shared" si="4"/>
        <v>48</v>
      </c>
      <c r="B64" s="49">
        <f t="shared" si="0"/>
        <v>44562</v>
      </c>
      <c r="C64" s="50">
        <f t="shared" si="5"/>
        <v>637230846.92356551</v>
      </c>
      <c r="D64" s="51">
        <f t="shared" si="8"/>
        <v>10141984.567160374</v>
      </c>
      <c r="E64" s="52">
        <f t="shared" si="1"/>
        <v>0</v>
      </c>
      <c r="F64" s="51">
        <f t="shared" si="2"/>
        <v>10141984.567160374</v>
      </c>
      <c r="G64" s="51">
        <f t="shared" si="6"/>
        <v>7486856.0383121837</v>
      </c>
      <c r="H64" s="51">
        <f t="shared" si="7"/>
        <v>2655128.5288481899</v>
      </c>
      <c r="I64" s="51">
        <f t="shared" si="3"/>
        <v>629743990.88525331</v>
      </c>
      <c r="J64" s="51">
        <f>SUM($H$17:$H64)</f>
        <v>160359250.10895145</v>
      </c>
      <c r="K64" s="12"/>
    </row>
    <row r="65" spans="1:11">
      <c r="A65" s="53">
        <f t="shared" si="4"/>
        <v>49</v>
      </c>
      <c r="B65" s="49">
        <f t="shared" si="0"/>
        <v>44593</v>
      </c>
      <c r="C65" s="50">
        <f t="shared" si="5"/>
        <v>629743990.88525331</v>
      </c>
      <c r="D65" s="51">
        <f t="shared" si="8"/>
        <v>10141984.567160374</v>
      </c>
      <c r="E65" s="52">
        <f t="shared" si="1"/>
        <v>0</v>
      </c>
      <c r="F65" s="51">
        <f t="shared" si="2"/>
        <v>10141984.567160374</v>
      </c>
      <c r="G65" s="51">
        <f t="shared" si="6"/>
        <v>7518051.2718051514</v>
      </c>
      <c r="H65" s="51">
        <f t="shared" si="7"/>
        <v>2623933.2953552222</v>
      </c>
      <c r="I65" s="51">
        <f t="shared" si="3"/>
        <v>622225939.61344814</v>
      </c>
      <c r="J65" s="51">
        <f>SUM($H$17:$H65)</f>
        <v>162983183.40430668</v>
      </c>
      <c r="K65" s="12"/>
    </row>
    <row r="66" spans="1:11">
      <c r="A66" s="53">
        <f t="shared" si="4"/>
        <v>50</v>
      </c>
      <c r="B66" s="49">
        <f t="shared" si="0"/>
        <v>44621</v>
      </c>
      <c r="C66" s="50">
        <f t="shared" si="5"/>
        <v>622225939.61344814</v>
      </c>
      <c r="D66" s="51">
        <f t="shared" si="8"/>
        <v>10141984.567160374</v>
      </c>
      <c r="E66" s="52">
        <f t="shared" si="1"/>
        <v>0</v>
      </c>
      <c r="F66" s="51">
        <f t="shared" si="2"/>
        <v>10141984.567160374</v>
      </c>
      <c r="G66" s="51">
        <f t="shared" si="6"/>
        <v>7549376.4854376726</v>
      </c>
      <c r="H66" s="51">
        <f t="shared" si="7"/>
        <v>2592608.0817227005</v>
      </c>
      <c r="I66" s="51">
        <f t="shared" si="3"/>
        <v>614676563.12801051</v>
      </c>
      <c r="J66" s="51">
        <f>SUM($H$17:$H66)</f>
        <v>165575791.48602939</v>
      </c>
      <c r="K66" s="12"/>
    </row>
    <row r="67" spans="1:11">
      <c r="A67" s="53">
        <f t="shared" si="4"/>
        <v>51</v>
      </c>
      <c r="B67" s="49">
        <f t="shared" si="0"/>
        <v>44652</v>
      </c>
      <c r="C67" s="50">
        <f t="shared" si="5"/>
        <v>614676563.12801051</v>
      </c>
      <c r="D67" s="51">
        <f t="shared" si="8"/>
        <v>10141984.567160374</v>
      </c>
      <c r="E67" s="52">
        <f t="shared" si="1"/>
        <v>0</v>
      </c>
      <c r="F67" s="51">
        <f t="shared" si="2"/>
        <v>10141984.567160374</v>
      </c>
      <c r="G67" s="51">
        <f t="shared" si="6"/>
        <v>7580832.2207936626</v>
      </c>
      <c r="H67" s="51">
        <f t="shared" si="7"/>
        <v>2561152.3463667105</v>
      </c>
      <c r="I67" s="51">
        <f t="shared" si="3"/>
        <v>607095730.90721691</v>
      </c>
      <c r="J67" s="51">
        <f>SUM($H$17:$H67)</f>
        <v>168136943.83239609</v>
      </c>
      <c r="K67" s="12"/>
    </row>
    <row r="68" spans="1:11">
      <c r="A68" s="53">
        <f t="shared" si="4"/>
        <v>52</v>
      </c>
      <c r="B68" s="49">
        <f t="shared" si="0"/>
        <v>44682</v>
      </c>
      <c r="C68" s="50">
        <f t="shared" si="5"/>
        <v>607095730.90721691</v>
      </c>
      <c r="D68" s="51">
        <f t="shared" si="8"/>
        <v>10141984.567160374</v>
      </c>
      <c r="E68" s="52">
        <f t="shared" si="1"/>
        <v>0</v>
      </c>
      <c r="F68" s="51">
        <f t="shared" si="2"/>
        <v>10141984.567160374</v>
      </c>
      <c r="G68" s="51">
        <f t="shared" si="6"/>
        <v>7612419.0217136368</v>
      </c>
      <c r="H68" s="51">
        <f t="shared" si="7"/>
        <v>2529565.5454467372</v>
      </c>
      <c r="I68" s="51">
        <f t="shared" si="3"/>
        <v>599483311.88550329</v>
      </c>
      <c r="J68" s="51">
        <f>SUM($H$17:$H68)</f>
        <v>170666509.37784281</v>
      </c>
      <c r="K68" s="12"/>
    </row>
    <row r="69" spans="1:11">
      <c r="A69" s="53">
        <f t="shared" si="4"/>
        <v>53</v>
      </c>
      <c r="B69" s="49">
        <f t="shared" si="0"/>
        <v>44713</v>
      </c>
      <c r="C69" s="50">
        <f t="shared" si="5"/>
        <v>599483311.88550329</v>
      </c>
      <c r="D69" s="51">
        <f t="shared" si="8"/>
        <v>10141984.567160374</v>
      </c>
      <c r="E69" s="52">
        <f t="shared" si="1"/>
        <v>0</v>
      </c>
      <c r="F69" s="51">
        <f t="shared" si="2"/>
        <v>10141984.567160374</v>
      </c>
      <c r="G69" s="51">
        <f t="shared" si="6"/>
        <v>7644137.4343041098</v>
      </c>
      <c r="H69" s="51">
        <f t="shared" si="7"/>
        <v>2497847.1328562638</v>
      </c>
      <c r="I69" s="51">
        <f t="shared" si="3"/>
        <v>591839174.45119917</v>
      </c>
      <c r="J69" s="51">
        <f>SUM($H$17:$H69)</f>
        <v>173164356.51069906</v>
      </c>
      <c r="K69" s="12"/>
    </row>
    <row r="70" spans="1:11">
      <c r="A70" s="53">
        <f t="shared" si="4"/>
        <v>54</v>
      </c>
      <c r="B70" s="49">
        <f t="shared" si="0"/>
        <v>44743</v>
      </c>
      <c r="C70" s="50">
        <f t="shared" si="5"/>
        <v>591839174.45119917</v>
      </c>
      <c r="D70" s="51">
        <f t="shared" si="8"/>
        <v>10141984.567160374</v>
      </c>
      <c r="E70" s="52">
        <f t="shared" si="1"/>
        <v>0</v>
      </c>
      <c r="F70" s="51">
        <f t="shared" si="2"/>
        <v>10141984.567160374</v>
      </c>
      <c r="G70" s="51">
        <f t="shared" si="6"/>
        <v>7675988.0069470443</v>
      </c>
      <c r="H70" s="51">
        <f t="shared" si="7"/>
        <v>2465996.5602133297</v>
      </c>
      <c r="I70" s="51">
        <f t="shared" si="3"/>
        <v>584163186.44425213</v>
      </c>
      <c r="J70" s="51">
        <f>SUM($H$17:$H70)</f>
        <v>175630353.07091239</v>
      </c>
      <c r="K70" s="12"/>
    </row>
    <row r="71" spans="1:11">
      <c r="A71" s="53">
        <f t="shared" si="4"/>
        <v>55</v>
      </c>
      <c r="B71" s="49">
        <f t="shared" si="0"/>
        <v>44774</v>
      </c>
      <c r="C71" s="50">
        <f t="shared" si="5"/>
        <v>584163186.44425213</v>
      </c>
      <c r="D71" s="51">
        <f t="shared" si="8"/>
        <v>10141984.567160374</v>
      </c>
      <c r="E71" s="52">
        <f t="shared" si="1"/>
        <v>0</v>
      </c>
      <c r="F71" s="51">
        <f t="shared" si="2"/>
        <v>10141984.567160374</v>
      </c>
      <c r="G71" s="51">
        <f t="shared" si="6"/>
        <v>7707971.290309323</v>
      </c>
      <c r="H71" s="51">
        <f t="shared" si="7"/>
        <v>2434013.2768510506</v>
      </c>
      <c r="I71" s="51">
        <f t="shared" si="3"/>
        <v>576455215.15394282</v>
      </c>
      <c r="J71" s="51">
        <f>SUM($H$17:$H71)</f>
        <v>178064366.34776345</v>
      </c>
      <c r="K71" s="12"/>
    </row>
    <row r="72" spans="1:11">
      <c r="A72" s="53">
        <f t="shared" si="4"/>
        <v>56</v>
      </c>
      <c r="B72" s="49">
        <f t="shared" si="0"/>
        <v>44805</v>
      </c>
      <c r="C72" s="50">
        <f t="shared" si="5"/>
        <v>576455215.15394282</v>
      </c>
      <c r="D72" s="51">
        <f t="shared" si="8"/>
        <v>10141984.567160374</v>
      </c>
      <c r="E72" s="52">
        <f t="shared" si="1"/>
        <v>0</v>
      </c>
      <c r="F72" s="51">
        <f t="shared" si="2"/>
        <v>10141984.567160374</v>
      </c>
      <c r="G72" s="51">
        <f t="shared" si="6"/>
        <v>7740087.8373522777</v>
      </c>
      <c r="H72" s="51">
        <f t="shared" si="7"/>
        <v>2401896.7298080954</v>
      </c>
      <c r="I72" s="51">
        <f t="shared" si="3"/>
        <v>568715127.31659055</v>
      </c>
      <c r="J72" s="51">
        <f>SUM($H$17:$H72)</f>
        <v>180466263.07757154</v>
      </c>
      <c r="K72" s="12"/>
    </row>
    <row r="73" spans="1:11">
      <c r="A73" s="53">
        <f t="shared" si="4"/>
        <v>57</v>
      </c>
      <c r="B73" s="49">
        <f t="shared" si="0"/>
        <v>44835</v>
      </c>
      <c r="C73" s="50">
        <f t="shared" si="5"/>
        <v>568715127.31659055</v>
      </c>
      <c r="D73" s="51">
        <f t="shared" si="8"/>
        <v>10141984.567160374</v>
      </c>
      <c r="E73" s="52">
        <f t="shared" si="1"/>
        <v>0</v>
      </c>
      <c r="F73" s="51">
        <f t="shared" si="2"/>
        <v>10141984.567160374</v>
      </c>
      <c r="G73" s="51">
        <f t="shared" si="6"/>
        <v>7772338.2033412457</v>
      </c>
      <c r="H73" s="51">
        <f t="shared" si="7"/>
        <v>2369646.3638191274</v>
      </c>
      <c r="I73" s="51">
        <f t="shared" si="3"/>
        <v>560942789.1132493</v>
      </c>
      <c r="J73" s="51">
        <f>SUM($H$17:$H73)</f>
        <v>182835909.44139066</v>
      </c>
      <c r="K73" s="12"/>
    </row>
    <row r="74" spans="1:11">
      <c r="A74" s="53">
        <f t="shared" si="4"/>
        <v>58</v>
      </c>
      <c r="B74" s="49">
        <f t="shared" si="0"/>
        <v>44866</v>
      </c>
      <c r="C74" s="50">
        <f t="shared" si="5"/>
        <v>560942789.1132493</v>
      </c>
      <c r="D74" s="51">
        <f t="shared" si="8"/>
        <v>10141984.567160374</v>
      </c>
      <c r="E74" s="52">
        <f t="shared" si="1"/>
        <v>0</v>
      </c>
      <c r="F74" s="51">
        <f t="shared" si="2"/>
        <v>10141984.567160374</v>
      </c>
      <c r="G74" s="51">
        <f t="shared" si="6"/>
        <v>7804722.9458551686</v>
      </c>
      <c r="H74" s="51">
        <f t="shared" si="7"/>
        <v>2337261.6213052054</v>
      </c>
      <c r="I74" s="51">
        <f t="shared" si="3"/>
        <v>553138066.16739416</v>
      </c>
      <c r="J74" s="51">
        <f>SUM($H$17:$H74)</f>
        <v>185173171.06269586</v>
      </c>
      <c r="K74" s="12"/>
    </row>
    <row r="75" spans="1:11">
      <c r="A75" s="53">
        <f t="shared" si="4"/>
        <v>59</v>
      </c>
      <c r="B75" s="49">
        <f t="shared" si="0"/>
        <v>44896</v>
      </c>
      <c r="C75" s="50">
        <f t="shared" si="5"/>
        <v>553138066.16739416</v>
      </c>
      <c r="D75" s="51">
        <f t="shared" si="8"/>
        <v>10141984.567160374</v>
      </c>
      <c r="E75" s="52">
        <f t="shared" si="1"/>
        <v>0</v>
      </c>
      <c r="F75" s="51">
        <f t="shared" si="2"/>
        <v>10141984.567160374</v>
      </c>
      <c r="G75" s="51">
        <f t="shared" si="6"/>
        <v>7837242.6247962303</v>
      </c>
      <c r="H75" s="51">
        <f t="shared" si="7"/>
        <v>2304741.9423641427</v>
      </c>
      <c r="I75" s="51">
        <f t="shared" si="3"/>
        <v>545300823.54259789</v>
      </c>
      <c r="J75" s="51">
        <f>SUM($H$17:$H75)</f>
        <v>187477913.00506002</v>
      </c>
      <c r="K75" s="12"/>
    </row>
    <row r="76" spans="1:11">
      <c r="A76" s="53">
        <f t="shared" si="4"/>
        <v>60</v>
      </c>
      <c r="B76" s="49">
        <f t="shared" si="0"/>
        <v>44927</v>
      </c>
      <c r="C76" s="50">
        <f t="shared" si="5"/>
        <v>545300823.54259789</v>
      </c>
      <c r="D76" s="51">
        <f t="shared" si="8"/>
        <v>10141984.567160374</v>
      </c>
      <c r="E76" s="52">
        <f t="shared" si="1"/>
        <v>0</v>
      </c>
      <c r="F76" s="51">
        <f t="shared" si="2"/>
        <v>10141984.567160374</v>
      </c>
      <c r="G76" s="51">
        <f t="shared" si="6"/>
        <v>7869897.8023995496</v>
      </c>
      <c r="H76" s="51">
        <f t="shared" si="7"/>
        <v>2272086.7647608244</v>
      </c>
      <c r="I76" s="51">
        <f t="shared" si="3"/>
        <v>537430925.74019837</v>
      </c>
      <c r="J76" s="51">
        <f>SUM($H$17:$H76)</f>
        <v>189749999.76982084</v>
      </c>
      <c r="K76" s="12"/>
    </row>
    <row r="77" spans="1:11">
      <c r="A77" s="53">
        <f t="shared" si="4"/>
        <v>61</v>
      </c>
      <c r="B77" s="49">
        <f t="shared" si="0"/>
        <v>44958</v>
      </c>
      <c r="C77" s="50">
        <f t="shared" si="5"/>
        <v>537430925.74019837</v>
      </c>
      <c r="D77" s="51">
        <f t="shared" si="8"/>
        <v>10141984.567160374</v>
      </c>
      <c r="E77" s="52">
        <f t="shared" si="1"/>
        <v>0</v>
      </c>
      <c r="F77" s="51">
        <f t="shared" si="2"/>
        <v>10141984.567160374</v>
      </c>
      <c r="G77" s="51">
        <f t="shared" si="6"/>
        <v>7902689.0432428801</v>
      </c>
      <c r="H77" s="51">
        <f t="shared" si="7"/>
        <v>2239295.5239174934</v>
      </c>
      <c r="I77" s="51">
        <f t="shared" si="3"/>
        <v>529528236.6969555</v>
      </c>
      <c r="J77" s="51">
        <f>SUM($H$17:$H77)</f>
        <v>191989295.29373834</v>
      </c>
      <c r="K77" s="12"/>
    </row>
    <row r="78" spans="1:11">
      <c r="A78" s="53">
        <f t="shared" si="4"/>
        <v>62</v>
      </c>
      <c r="B78" s="49">
        <f t="shared" si="0"/>
        <v>44986</v>
      </c>
      <c r="C78" s="50">
        <f t="shared" si="5"/>
        <v>529528236.6969555</v>
      </c>
      <c r="D78" s="51">
        <f t="shared" si="8"/>
        <v>10141984.567160374</v>
      </c>
      <c r="E78" s="52">
        <f t="shared" si="1"/>
        <v>0</v>
      </c>
      <c r="F78" s="51">
        <f t="shared" si="2"/>
        <v>10141984.567160374</v>
      </c>
      <c r="G78" s="51">
        <f t="shared" si="6"/>
        <v>7935616.914256392</v>
      </c>
      <c r="H78" s="51">
        <f t="shared" si="7"/>
        <v>2206367.6529039815</v>
      </c>
      <c r="I78" s="51">
        <f t="shared" si="3"/>
        <v>521592619.78269911</v>
      </c>
      <c r="J78" s="51">
        <f>SUM($H$17:$H78)</f>
        <v>194195662.94664231</v>
      </c>
      <c r="K78" s="12"/>
    </row>
    <row r="79" spans="1:11">
      <c r="A79" s="53">
        <f t="shared" si="4"/>
        <v>63</v>
      </c>
      <c r="B79" s="49">
        <f t="shared" si="0"/>
        <v>45017</v>
      </c>
      <c r="C79" s="50">
        <f t="shared" si="5"/>
        <v>521592619.78269911</v>
      </c>
      <c r="D79" s="51">
        <f t="shared" si="8"/>
        <v>10141984.567160374</v>
      </c>
      <c r="E79" s="52">
        <f t="shared" si="1"/>
        <v>0</v>
      </c>
      <c r="F79" s="51">
        <f t="shared" si="2"/>
        <v>10141984.567160374</v>
      </c>
      <c r="G79" s="51">
        <f t="shared" si="6"/>
        <v>7968681.9847324602</v>
      </c>
      <c r="H79" s="51">
        <f t="shared" si="7"/>
        <v>2173302.5824279129</v>
      </c>
      <c r="I79" s="51">
        <f t="shared" si="3"/>
        <v>513623937.79796666</v>
      </c>
      <c r="J79" s="51">
        <f>SUM($H$17:$H79)</f>
        <v>196368965.52907023</v>
      </c>
      <c r="K79" s="12"/>
    </row>
    <row r="80" spans="1:11">
      <c r="A80" s="53">
        <f t="shared" si="4"/>
        <v>64</v>
      </c>
      <c r="B80" s="49">
        <f t="shared" si="0"/>
        <v>45047</v>
      </c>
      <c r="C80" s="50">
        <f t="shared" si="5"/>
        <v>513623937.79796666</v>
      </c>
      <c r="D80" s="51">
        <f t="shared" si="8"/>
        <v>10141984.567160374</v>
      </c>
      <c r="E80" s="52">
        <f t="shared" si="1"/>
        <v>0</v>
      </c>
      <c r="F80" s="51">
        <f t="shared" si="2"/>
        <v>10141984.567160374</v>
      </c>
      <c r="G80" s="51">
        <f t="shared" si="6"/>
        <v>8001884.8263355121</v>
      </c>
      <c r="H80" s="51">
        <f t="shared" si="7"/>
        <v>2140099.740824861</v>
      </c>
      <c r="I80" s="51">
        <f t="shared" si="3"/>
        <v>505622052.97163117</v>
      </c>
      <c r="J80" s="51">
        <f>SUM($H$17:$H80)</f>
        <v>198509065.26989508</v>
      </c>
      <c r="K80" s="12"/>
    </row>
    <row r="81" spans="1:11">
      <c r="A81" s="53">
        <f t="shared" si="4"/>
        <v>65</v>
      </c>
      <c r="B81" s="49">
        <f t="shared" ref="B81:B86" si="9">IF(Pay_Num&lt;&gt;"",DATE(YEAR(Loan_Start),MONTH(Loan_Start)+(Pay_Num)*12/Num_Pmt_Per_Year,DAY(Loan_Start)),"")</f>
        <v>45078</v>
      </c>
      <c r="C81" s="50">
        <f t="shared" si="5"/>
        <v>505622052.97163117</v>
      </c>
      <c r="D81" s="51">
        <f t="shared" si="8"/>
        <v>10141984.567160374</v>
      </c>
      <c r="E81" s="52">
        <f t="shared" ref="E81:E86" si="10">IF(AND(Pay_Num&lt;&gt;"",Sched_Pay+Scheduled_Extra_Payments&lt;Beg_Bal),Scheduled_Extra_Payments,IF(AND(Pay_Num&lt;&gt;"",Beg_Bal-Sched_Pay&gt;0),Beg_Bal-Sched_Pay,IF(Pay_Num&lt;&gt;"",0,"")))</f>
        <v>0</v>
      </c>
      <c r="F81" s="51">
        <f t="shared" ref="F81:F86" si="11">IF(AND(Pay_Num&lt;&gt;"",Sched_Pay+Extra_Pay&lt;Beg_Bal),Sched_Pay+Extra_Pay,IF(Pay_Num&lt;&gt;"",Beg_Bal,""))</f>
        <v>10141984.567160374</v>
      </c>
      <c r="G81" s="51">
        <f t="shared" si="6"/>
        <v>8035226.0131119099</v>
      </c>
      <c r="H81" s="51">
        <f t="shared" si="7"/>
        <v>2106758.5540484632</v>
      </c>
      <c r="I81" s="51">
        <f t="shared" ref="I81:I86" si="12">IF(AND(Pay_Num&lt;&gt;"",Sched_Pay+Extra_Pay&lt;Beg_Bal),Beg_Bal-Princ,IF(Pay_Num&lt;&gt;"",0,""))</f>
        <v>497586826.95851928</v>
      </c>
      <c r="J81" s="51">
        <f>SUM($H$17:$H81)</f>
        <v>200615823.82394353</v>
      </c>
      <c r="K81" s="12"/>
    </row>
    <row r="82" spans="1:11">
      <c r="A82" s="53">
        <f t="shared" ref="A82:A86" si="13">IF(Values_Entered,A81+1,"")</f>
        <v>66</v>
      </c>
      <c r="B82" s="49">
        <f t="shared" si="9"/>
        <v>45108</v>
      </c>
      <c r="C82" s="50">
        <f t="shared" ref="C82:C86" si="14">IF(Pay_Num&lt;&gt;"",I81,"")</f>
        <v>497586826.95851928</v>
      </c>
      <c r="D82" s="51">
        <f t="shared" si="8"/>
        <v>10141984.567160374</v>
      </c>
      <c r="E82" s="52">
        <f t="shared" si="10"/>
        <v>0</v>
      </c>
      <c r="F82" s="51">
        <f t="shared" si="11"/>
        <v>10141984.567160374</v>
      </c>
      <c r="G82" s="51">
        <f t="shared" ref="G82:G86" si="15">IF(Pay_Num&lt;&gt;"",Total_Pay-Int,"")</f>
        <v>8068706.1214998765</v>
      </c>
      <c r="H82" s="51">
        <f t="shared" ref="H82:H86" si="16">IF(Pay_Num&lt;&gt;"",Beg_Bal*Interest_Rate/Num_Pmt_Per_Year,"")</f>
        <v>2073278.4456604971</v>
      </c>
      <c r="I82" s="51">
        <f t="shared" si="12"/>
        <v>489518120.83701938</v>
      </c>
      <c r="J82" s="51">
        <f>SUM($H$17:$H82)</f>
        <v>202689102.26960403</v>
      </c>
      <c r="K82" s="12"/>
    </row>
    <row r="83" spans="1:11">
      <c r="A83" s="53">
        <f t="shared" si="13"/>
        <v>67</v>
      </c>
      <c r="B83" s="49">
        <f t="shared" si="9"/>
        <v>45139</v>
      </c>
      <c r="C83" s="50">
        <f t="shared" si="14"/>
        <v>489518120.83701938</v>
      </c>
      <c r="D83" s="51">
        <f t="shared" ref="D83:D86" si="17">IF(Pay_Num&lt;&gt;"",Scheduled_Monthly_Payment,"")</f>
        <v>10141984.567160374</v>
      </c>
      <c r="E83" s="52">
        <f t="shared" si="10"/>
        <v>0</v>
      </c>
      <c r="F83" s="51">
        <f t="shared" si="11"/>
        <v>10141984.567160374</v>
      </c>
      <c r="G83" s="51">
        <f t="shared" si="15"/>
        <v>8102325.7303394591</v>
      </c>
      <c r="H83" s="51">
        <f t="shared" si="16"/>
        <v>2039658.8368209142</v>
      </c>
      <c r="I83" s="51">
        <f t="shared" si="12"/>
        <v>481415795.10667992</v>
      </c>
      <c r="J83" s="51">
        <f>SUM($H$17:$H83)</f>
        <v>204728761.10642493</v>
      </c>
      <c r="K83" s="12"/>
    </row>
    <row r="84" spans="1:11">
      <c r="A84" s="53">
        <f t="shared" si="13"/>
        <v>68</v>
      </c>
      <c r="B84" s="49">
        <f t="shared" si="9"/>
        <v>45170</v>
      </c>
      <c r="C84" s="50">
        <f t="shared" si="14"/>
        <v>481415795.10667992</v>
      </c>
      <c r="D84" s="51">
        <f t="shared" si="17"/>
        <v>10141984.567160374</v>
      </c>
      <c r="E84" s="52">
        <f t="shared" si="10"/>
        <v>0</v>
      </c>
      <c r="F84" s="51">
        <f t="shared" si="11"/>
        <v>10141984.567160374</v>
      </c>
      <c r="G84" s="51">
        <f t="shared" si="15"/>
        <v>8136085.4208825408</v>
      </c>
      <c r="H84" s="51">
        <f t="shared" si="16"/>
        <v>2005899.146277833</v>
      </c>
      <c r="I84" s="51">
        <f t="shared" si="12"/>
        <v>473279709.68579739</v>
      </c>
      <c r="J84" s="51">
        <f>SUM($H$17:$H84)</f>
        <v>206734660.25270277</v>
      </c>
      <c r="K84" s="12"/>
    </row>
    <row r="85" spans="1:11">
      <c r="A85" s="53">
        <f t="shared" si="13"/>
        <v>69</v>
      </c>
      <c r="B85" s="49">
        <f t="shared" si="9"/>
        <v>45200</v>
      </c>
      <c r="C85" s="50">
        <f t="shared" si="14"/>
        <v>473279709.68579739</v>
      </c>
      <c r="D85" s="51">
        <f t="shared" si="17"/>
        <v>10141984.567160374</v>
      </c>
      <c r="E85" s="52">
        <f t="shared" si="10"/>
        <v>0</v>
      </c>
      <c r="F85" s="51">
        <f t="shared" si="11"/>
        <v>10141984.567160374</v>
      </c>
      <c r="G85" s="51">
        <f t="shared" si="15"/>
        <v>8169985.7768028844</v>
      </c>
      <c r="H85" s="51">
        <f t="shared" si="16"/>
        <v>1971998.7903574891</v>
      </c>
      <c r="I85" s="51">
        <f t="shared" si="12"/>
        <v>465109723.9089945</v>
      </c>
      <c r="J85" s="51">
        <f>SUM($H$17:$H85)</f>
        <v>208706659.04306027</v>
      </c>
      <c r="K85" s="12"/>
    </row>
    <row r="86" spans="1:11">
      <c r="A86" s="53">
        <f t="shared" si="13"/>
        <v>70</v>
      </c>
      <c r="B86" s="49">
        <f t="shared" si="9"/>
        <v>45231</v>
      </c>
      <c r="C86" s="50">
        <f t="shared" si="14"/>
        <v>465109723.9089945</v>
      </c>
      <c r="D86" s="51">
        <f t="shared" si="17"/>
        <v>10141984.567160374</v>
      </c>
      <c r="E86" s="52">
        <f t="shared" si="10"/>
        <v>0</v>
      </c>
      <c r="F86" s="51">
        <f t="shared" si="11"/>
        <v>10141984.567160374</v>
      </c>
      <c r="G86" s="51">
        <f t="shared" si="15"/>
        <v>8204027.3842062298</v>
      </c>
      <c r="H86" s="51">
        <f t="shared" si="16"/>
        <v>1937957.1829541437</v>
      </c>
      <c r="I86" s="51">
        <f t="shared" si="12"/>
        <v>456905696.52478826</v>
      </c>
      <c r="J86" s="51">
        <f>SUM($H$17:$H86)</f>
        <v>210644616.22601441</v>
      </c>
    </row>
    <row r="87" spans="1:11">
      <c r="A87" s="53">
        <f>IF(Values_Entered,A86+1,"")</f>
        <v>71</v>
      </c>
      <c r="B87" s="49">
        <f t="shared" ref="B87:B118" si="18">IF(Pay_Num&lt;&gt;"",DATE(YEAR(Loan_Start),MONTH(Loan_Start)+(Pay_Num)*12/Num_Pmt_Per_Year,DAY(Loan_Start)),"")</f>
        <v>45261</v>
      </c>
      <c r="C87" s="50">
        <f t="shared" ref="C87:C118" si="19">IF(Pay_Num&lt;&gt;"",I86,"")</f>
        <v>456905696.52478826</v>
      </c>
      <c r="D87" s="51">
        <f t="shared" ref="D87:D118" si="20">IF(Pay_Num&lt;&gt;"",Scheduled_Monthly_Payment,"")</f>
        <v>10141984.567160374</v>
      </c>
      <c r="E87" s="52">
        <f t="shared" ref="E87:E118" si="21">IF(AND(Pay_Num&lt;&gt;"",Sched_Pay+Scheduled_Extra_Payments&lt;Beg_Bal),Scheduled_Extra_Payments,IF(AND(Pay_Num&lt;&gt;"",Beg_Bal-Sched_Pay&gt;0),Beg_Bal-Sched_Pay,IF(Pay_Num&lt;&gt;"",0,"")))</f>
        <v>0</v>
      </c>
      <c r="F87" s="51">
        <f t="shared" ref="F87:F118" si="22">IF(AND(Pay_Num&lt;&gt;"",Sched_Pay+Extra_Pay&lt;Beg_Bal),Sched_Pay+Extra_Pay,IF(Pay_Num&lt;&gt;"",Beg_Bal,""))</f>
        <v>10141984.567160374</v>
      </c>
      <c r="G87" s="51">
        <f t="shared" ref="G87:G118" si="23">IF(Pay_Num&lt;&gt;"",Total_Pay-Int,"")</f>
        <v>8238210.8316404223</v>
      </c>
      <c r="H87" s="51">
        <f t="shared" ref="H87:H118" si="24">IF(Pay_Num&lt;&gt;"",Beg_Bal*Interest_Rate/Num_Pmt_Per_Year,"")</f>
        <v>1903773.7355199512</v>
      </c>
      <c r="I87" s="51">
        <f t="shared" ref="I87:I118" si="25">IF(AND(Pay_Num&lt;&gt;"",Sched_Pay+Extra_Pay&lt;Beg_Bal),Beg_Bal-Princ,IF(Pay_Num&lt;&gt;"",0,""))</f>
        <v>448667485.69314784</v>
      </c>
      <c r="J87" s="51">
        <f>SUM($H$17:$H87)</f>
        <v>212548389.96153435</v>
      </c>
    </row>
    <row r="88" spans="1:11">
      <c r="A88" s="53">
        <f>IF(Values_Entered,A87+1,"")</f>
        <v>72</v>
      </c>
      <c r="B88" s="49">
        <f t="shared" si="18"/>
        <v>45292</v>
      </c>
      <c r="C88" s="50">
        <f t="shared" si="19"/>
        <v>448667485.69314784</v>
      </c>
      <c r="D88" s="51">
        <f t="shared" si="20"/>
        <v>10141984.567160374</v>
      </c>
      <c r="E88" s="52">
        <f t="shared" si="21"/>
        <v>0</v>
      </c>
      <c r="F88" s="51">
        <f t="shared" si="22"/>
        <v>10141984.567160374</v>
      </c>
      <c r="G88" s="51">
        <f t="shared" si="23"/>
        <v>8272536.7101055905</v>
      </c>
      <c r="H88" s="51">
        <f t="shared" si="24"/>
        <v>1869447.8570547828</v>
      </c>
      <c r="I88" s="51">
        <f t="shared" si="25"/>
        <v>440394948.98304224</v>
      </c>
      <c r="J88" s="51">
        <f>SUM($H$17:$H88)</f>
        <v>214417837.81858912</v>
      </c>
    </row>
    <row r="89" spans="1:11">
      <c r="A89" s="53">
        <f>IF(Values_Entered,A88+1,"")</f>
        <v>73</v>
      </c>
      <c r="B89" s="49">
        <f t="shared" si="18"/>
        <v>45323</v>
      </c>
      <c r="C89" s="50">
        <f t="shared" si="19"/>
        <v>440394948.98304224</v>
      </c>
      <c r="D89" s="51">
        <f t="shared" si="20"/>
        <v>10141984.567160374</v>
      </c>
      <c r="E89" s="52">
        <f t="shared" si="21"/>
        <v>0</v>
      </c>
      <c r="F89" s="51">
        <f t="shared" si="22"/>
        <v>10141984.567160374</v>
      </c>
      <c r="G89" s="51">
        <f t="shared" si="23"/>
        <v>8307005.6130643645</v>
      </c>
      <c r="H89" s="51">
        <f t="shared" si="24"/>
        <v>1834978.9540960093</v>
      </c>
      <c r="I89" s="51">
        <f t="shared" si="25"/>
        <v>432087943.36997789</v>
      </c>
      <c r="J89" s="51">
        <f>SUM($H$17:$H89)</f>
        <v>216252816.77268514</v>
      </c>
      <c r="K89" s="12"/>
    </row>
    <row r="90" spans="1:11">
      <c r="A90" s="53">
        <f>IF(Values_Entered,A89+1,"")</f>
        <v>74</v>
      </c>
      <c r="B90" s="49">
        <f t="shared" si="18"/>
        <v>45352</v>
      </c>
      <c r="C90" s="50">
        <f t="shared" si="19"/>
        <v>432087943.36997789</v>
      </c>
      <c r="D90" s="51">
        <f t="shared" si="20"/>
        <v>10141984.567160374</v>
      </c>
      <c r="E90" s="52">
        <f t="shared" si="21"/>
        <v>0</v>
      </c>
      <c r="F90" s="51">
        <f t="shared" si="22"/>
        <v>10141984.567160374</v>
      </c>
      <c r="G90" s="51">
        <f t="shared" si="23"/>
        <v>8341618.1364521319</v>
      </c>
      <c r="H90" s="51">
        <f t="shared" si="24"/>
        <v>1800366.4307082414</v>
      </c>
      <c r="I90" s="51">
        <f t="shared" si="25"/>
        <v>423746325.23352575</v>
      </c>
      <c r="J90" s="51">
        <f>SUM($H$17:$H90)</f>
        <v>218053183.20339337</v>
      </c>
      <c r="K90" s="12"/>
    </row>
    <row r="91" spans="1:11">
      <c r="A91" s="53">
        <f>IF(Values_Entered,A90+1,"")</f>
        <v>75</v>
      </c>
      <c r="B91" s="49">
        <f t="shared" si="18"/>
        <v>45383</v>
      </c>
      <c r="C91" s="50">
        <f t="shared" si="19"/>
        <v>423746325.23352575</v>
      </c>
      <c r="D91" s="51">
        <f t="shared" si="20"/>
        <v>10141984.567160374</v>
      </c>
      <c r="E91" s="52">
        <f t="shared" si="21"/>
        <v>0</v>
      </c>
      <c r="F91" s="51">
        <f t="shared" si="22"/>
        <v>10141984.567160374</v>
      </c>
      <c r="G91" s="51">
        <f t="shared" si="23"/>
        <v>8376374.8786873491</v>
      </c>
      <c r="H91" s="51">
        <f t="shared" si="24"/>
        <v>1765609.6884730242</v>
      </c>
      <c r="I91" s="51">
        <f t="shared" si="25"/>
        <v>415369950.35483843</v>
      </c>
      <c r="J91" s="51">
        <f>SUM($H$17:$H91)</f>
        <v>219818792.89186639</v>
      </c>
      <c r="K91" s="12"/>
    </row>
    <row r="92" spans="1:11">
      <c r="A92" s="53">
        <f>IF(Values_Entered,A91+1,"")</f>
        <v>76</v>
      </c>
      <c r="B92" s="49">
        <f t="shared" si="18"/>
        <v>45413</v>
      </c>
      <c r="C92" s="50">
        <f t="shared" si="19"/>
        <v>415369950.35483843</v>
      </c>
      <c r="D92" s="51">
        <f t="shared" si="20"/>
        <v>10141984.567160374</v>
      </c>
      <c r="E92" s="52">
        <f t="shared" si="21"/>
        <v>0</v>
      </c>
      <c r="F92" s="51">
        <f t="shared" si="22"/>
        <v>10141984.567160374</v>
      </c>
      <c r="G92" s="51">
        <f t="shared" si="23"/>
        <v>8411276.4406818803</v>
      </c>
      <c r="H92" s="51">
        <f t="shared" si="24"/>
        <v>1730708.1264784934</v>
      </c>
      <c r="I92" s="51">
        <f t="shared" si="25"/>
        <v>406958673.91415656</v>
      </c>
      <c r="J92" s="51">
        <f>SUM($H$17:$H92)</f>
        <v>221549501.01834488</v>
      </c>
      <c r="K92" s="12"/>
    </row>
    <row r="93" spans="1:11">
      <c r="A93" s="53">
        <f>IF(Values_Entered,A92+1,"")</f>
        <v>77</v>
      </c>
      <c r="B93" s="49">
        <f t="shared" si="18"/>
        <v>45444</v>
      </c>
      <c r="C93" s="50">
        <f t="shared" si="19"/>
        <v>406958673.91415656</v>
      </c>
      <c r="D93" s="51">
        <f t="shared" si="20"/>
        <v>10141984.567160374</v>
      </c>
      <c r="E93" s="52">
        <f t="shared" si="21"/>
        <v>0</v>
      </c>
      <c r="F93" s="51">
        <f t="shared" si="22"/>
        <v>10141984.567160374</v>
      </c>
      <c r="G93" s="51">
        <f t="shared" si="23"/>
        <v>8446323.4258513879</v>
      </c>
      <c r="H93" s="51">
        <f t="shared" si="24"/>
        <v>1695661.1413089857</v>
      </c>
      <c r="I93" s="51">
        <f t="shared" si="25"/>
        <v>398512350.48830515</v>
      </c>
      <c r="J93" s="51">
        <f>SUM($H$17:$H93)</f>
        <v>223245162.15965387</v>
      </c>
      <c r="K93" s="12"/>
    </row>
    <row r="94" spans="1:11">
      <c r="A94" s="53">
        <f>IF(Values_Entered,A93+1,"")</f>
        <v>78</v>
      </c>
      <c r="B94" s="49">
        <f t="shared" si="18"/>
        <v>45474</v>
      </c>
      <c r="C94" s="50">
        <f t="shared" si="19"/>
        <v>398512350.48830515</v>
      </c>
      <c r="D94" s="51">
        <f t="shared" si="20"/>
        <v>10141984.567160374</v>
      </c>
      <c r="E94" s="52">
        <f t="shared" si="21"/>
        <v>0</v>
      </c>
      <c r="F94" s="51">
        <f t="shared" si="22"/>
        <v>10141984.567160374</v>
      </c>
      <c r="G94" s="51">
        <f t="shared" si="23"/>
        <v>8481516.440125769</v>
      </c>
      <c r="H94" s="51">
        <f t="shared" si="24"/>
        <v>1660468.1270346048</v>
      </c>
      <c r="I94" s="51">
        <f t="shared" si="25"/>
        <v>390030834.04817939</v>
      </c>
      <c r="J94" s="51">
        <f>SUM($H$17:$H94)</f>
        <v>224905630.28668848</v>
      </c>
      <c r="K94" s="12"/>
    </row>
    <row r="95" spans="1:11">
      <c r="A95" s="53">
        <f>IF(Values_Entered,A94+1,"")</f>
        <v>79</v>
      </c>
      <c r="B95" s="49">
        <f t="shared" si="18"/>
        <v>45505</v>
      </c>
      <c r="C95" s="50">
        <f t="shared" si="19"/>
        <v>390030834.04817939</v>
      </c>
      <c r="D95" s="51">
        <f t="shared" si="20"/>
        <v>10141984.567160374</v>
      </c>
      <c r="E95" s="52">
        <f t="shared" si="21"/>
        <v>0</v>
      </c>
      <c r="F95" s="51">
        <f t="shared" si="22"/>
        <v>10141984.567160374</v>
      </c>
      <c r="G95" s="51">
        <f t="shared" si="23"/>
        <v>8516856.0919596255</v>
      </c>
      <c r="H95" s="51">
        <f t="shared" si="24"/>
        <v>1625128.4752007474</v>
      </c>
      <c r="I95" s="51">
        <f t="shared" si="25"/>
        <v>381513977.95621979</v>
      </c>
      <c r="J95" s="51">
        <f>SUM($H$17:$H95)</f>
        <v>226530758.76188922</v>
      </c>
      <c r="K95" s="12"/>
    </row>
    <row r="96" spans="1:11">
      <c r="A96" s="53">
        <f>IF(Values_Entered,A95+1,"")</f>
        <v>80</v>
      </c>
      <c r="B96" s="49">
        <f t="shared" si="18"/>
        <v>45536</v>
      </c>
      <c r="C96" s="50">
        <f t="shared" si="19"/>
        <v>381513977.95621979</v>
      </c>
      <c r="D96" s="51">
        <f t="shared" si="20"/>
        <v>10141984.567160374</v>
      </c>
      <c r="E96" s="52">
        <f t="shared" si="21"/>
        <v>0</v>
      </c>
      <c r="F96" s="51">
        <f t="shared" si="22"/>
        <v>10141984.567160374</v>
      </c>
      <c r="G96" s="51">
        <f t="shared" si="23"/>
        <v>8552342.9923427906</v>
      </c>
      <c r="H96" s="51">
        <f t="shared" si="24"/>
        <v>1589641.5748175827</v>
      </c>
      <c r="I96" s="51">
        <f t="shared" si="25"/>
        <v>372961634.96387702</v>
      </c>
      <c r="J96" s="51">
        <f>SUM($H$17:$H96)</f>
        <v>228120400.33670679</v>
      </c>
      <c r="K96" s="12"/>
    </row>
    <row r="97" spans="1:11">
      <c r="A97" s="53">
        <f>IF(Values_Entered,A96+1,"")</f>
        <v>81</v>
      </c>
      <c r="B97" s="49">
        <f t="shared" si="18"/>
        <v>45566</v>
      </c>
      <c r="C97" s="50">
        <f t="shared" si="19"/>
        <v>372961634.96387702</v>
      </c>
      <c r="D97" s="51">
        <f t="shared" si="20"/>
        <v>10141984.567160374</v>
      </c>
      <c r="E97" s="52">
        <f t="shared" si="21"/>
        <v>0</v>
      </c>
      <c r="F97" s="51">
        <f t="shared" si="22"/>
        <v>10141984.567160374</v>
      </c>
      <c r="G97" s="51">
        <f t="shared" si="23"/>
        <v>8587977.7548108865</v>
      </c>
      <c r="H97" s="51">
        <f t="shared" si="24"/>
        <v>1554006.8123494878</v>
      </c>
      <c r="I97" s="51">
        <f t="shared" si="25"/>
        <v>364373657.20906615</v>
      </c>
      <c r="J97" s="51">
        <f>SUM($H$17:$H97)</f>
        <v>229674407.14905629</v>
      </c>
      <c r="K97" s="12"/>
    </row>
    <row r="98" spans="1:11">
      <c r="A98" s="53">
        <f>IF(Values_Entered,A97+1,"")</f>
        <v>82</v>
      </c>
      <c r="B98" s="49">
        <f t="shared" si="18"/>
        <v>45597</v>
      </c>
      <c r="C98" s="50">
        <f t="shared" si="19"/>
        <v>364373657.20906615</v>
      </c>
      <c r="D98" s="51">
        <f t="shared" si="20"/>
        <v>10141984.567160374</v>
      </c>
      <c r="E98" s="52">
        <f t="shared" si="21"/>
        <v>0</v>
      </c>
      <c r="F98" s="51">
        <f t="shared" si="22"/>
        <v>10141984.567160374</v>
      </c>
      <c r="G98" s="51">
        <f t="shared" si="23"/>
        <v>8623760.9954559319</v>
      </c>
      <c r="H98" s="51">
        <f t="shared" si="24"/>
        <v>1518223.5717044424</v>
      </c>
      <c r="I98" s="51">
        <f t="shared" si="25"/>
        <v>355749896.21361023</v>
      </c>
      <c r="J98" s="51">
        <f>SUM($H$17:$H98)</f>
        <v>231192630.72076073</v>
      </c>
      <c r="K98" s="12"/>
    </row>
    <row r="99" spans="1:11">
      <c r="A99" s="53">
        <f>IF(Values_Entered,A98+1,"")</f>
        <v>83</v>
      </c>
      <c r="B99" s="49">
        <f t="shared" si="18"/>
        <v>45627</v>
      </c>
      <c r="C99" s="50">
        <f t="shared" si="19"/>
        <v>355749896.21361023</v>
      </c>
      <c r="D99" s="51">
        <f t="shared" si="20"/>
        <v>10141984.567160374</v>
      </c>
      <c r="E99" s="52">
        <f t="shared" si="21"/>
        <v>0</v>
      </c>
      <c r="F99" s="51">
        <f t="shared" si="22"/>
        <v>10141984.567160374</v>
      </c>
      <c r="G99" s="51">
        <f t="shared" si="23"/>
        <v>8659693.3329369985</v>
      </c>
      <c r="H99" s="51">
        <f t="shared" si="24"/>
        <v>1482291.234223376</v>
      </c>
      <c r="I99" s="51">
        <f t="shared" si="25"/>
        <v>347090202.88067323</v>
      </c>
      <c r="J99" s="51">
        <f>SUM($H$17:$H99)</f>
        <v>232674921.9549841</v>
      </c>
      <c r="K99" s="12"/>
    </row>
    <row r="100" spans="1:11">
      <c r="A100" s="53">
        <f>IF(Values_Entered,A99+1,"")</f>
        <v>84</v>
      </c>
      <c r="B100" s="49">
        <f t="shared" si="18"/>
        <v>45658</v>
      </c>
      <c r="C100" s="50">
        <f t="shared" si="19"/>
        <v>347090202.88067323</v>
      </c>
      <c r="D100" s="51">
        <f t="shared" si="20"/>
        <v>10141984.567160374</v>
      </c>
      <c r="E100" s="52">
        <f t="shared" si="21"/>
        <v>0</v>
      </c>
      <c r="F100" s="51">
        <f t="shared" si="22"/>
        <v>10141984.567160374</v>
      </c>
      <c r="G100" s="51">
        <f t="shared" si="23"/>
        <v>8695775.3884909023</v>
      </c>
      <c r="H100" s="51">
        <f t="shared" si="24"/>
        <v>1446209.178669472</v>
      </c>
      <c r="I100" s="51">
        <f t="shared" si="25"/>
        <v>338394427.49218231</v>
      </c>
      <c r="J100" s="51">
        <f>SUM($H$17:$H100)</f>
        <v>234121131.13365358</v>
      </c>
      <c r="K100" s="12"/>
    </row>
    <row r="101" spans="1:11">
      <c r="A101" s="53">
        <f>IF(Values_Entered,A100+1,"")</f>
        <v>85</v>
      </c>
      <c r="B101" s="49">
        <f t="shared" si="18"/>
        <v>45689</v>
      </c>
      <c r="C101" s="50">
        <f t="shared" si="19"/>
        <v>338394427.49218231</v>
      </c>
      <c r="D101" s="51">
        <f t="shared" si="20"/>
        <v>10141984.567160374</v>
      </c>
      <c r="E101" s="52">
        <f t="shared" si="21"/>
        <v>0</v>
      </c>
      <c r="F101" s="51">
        <f t="shared" si="22"/>
        <v>10141984.567160374</v>
      </c>
      <c r="G101" s="51">
        <f t="shared" si="23"/>
        <v>8732007.7859429475</v>
      </c>
      <c r="H101" s="51">
        <f t="shared" si="24"/>
        <v>1409976.7812174263</v>
      </c>
      <c r="I101" s="51">
        <f t="shared" si="25"/>
        <v>329662419.70623934</v>
      </c>
      <c r="J101" s="51">
        <f>SUM($H$17:$H101)</f>
        <v>235531107.91487101</v>
      </c>
      <c r="K101" s="12"/>
    </row>
    <row r="102" spans="1:11">
      <c r="A102" s="53">
        <f>IF(Values_Entered,A101+1,"")</f>
        <v>86</v>
      </c>
      <c r="B102" s="49">
        <f t="shared" si="18"/>
        <v>45717</v>
      </c>
      <c r="C102" s="50">
        <f t="shared" si="19"/>
        <v>329662419.70623934</v>
      </c>
      <c r="D102" s="51">
        <f t="shared" si="20"/>
        <v>10141984.567160374</v>
      </c>
      <c r="E102" s="52">
        <f t="shared" si="21"/>
        <v>0</v>
      </c>
      <c r="F102" s="51">
        <f t="shared" si="22"/>
        <v>10141984.567160374</v>
      </c>
      <c r="G102" s="51">
        <f t="shared" si="23"/>
        <v>8768391.1517177094</v>
      </c>
      <c r="H102" s="51">
        <f t="shared" si="24"/>
        <v>1373593.4154426639</v>
      </c>
      <c r="I102" s="51">
        <f t="shared" si="25"/>
        <v>320894028.55452162</v>
      </c>
      <c r="J102" s="51">
        <f>SUM($H$17:$H102)</f>
        <v>236904701.33031368</v>
      </c>
      <c r="K102" s="12"/>
    </row>
    <row r="103" spans="1:11">
      <c r="A103" s="53">
        <f>IF(Values_Entered,A102+1,"")</f>
        <v>87</v>
      </c>
      <c r="B103" s="49">
        <f t="shared" si="18"/>
        <v>45748</v>
      </c>
      <c r="C103" s="50">
        <f t="shared" si="19"/>
        <v>320894028.55452162</v>
      </c>
      <c r="D103" s="51">
        <f t="shared" si="20"/>
        <v>10141984.567160374</v>
      </c>
      <c r="E103" s="52">
        <f t="shared" si="21"/>
        <v>0</v>
      </c>
      <c r="F103" s="51">
        <f t="shared" si="22"/>
        <v>10141984.567160374</v>
      </c>
      <c r="G103" s="51">
        <f t="shared" si="23"/>
        <v>8804926.1148498673</v>
      </c>
      <c r="H103" s="51">
        <f t="shared" si="24"/>
        <v>1337058.452310507</v>
      </c>
      <c r="I103" s="51">
        <f t="shared" si="25"/>
        <v>312089102.43967175</v>
      </c>
      <c r="J103" s="51">
        <f>SUM($H$17:$H103)</f>
        <v>238241759.78262419</v>
      </c>
      <c r="K103" s="12"/>
    </row>
    <row r="104" spans="1:11">
      <c r="A104" s="53">
        <f>IF(Values_Entered,A103+1,"")</f>
        <v>88</v>
      </c>
      <c r="B104" s="49">
        <f t="shared" si="18"/>
        <v>45778</v>
      </c>
      <c r="C104" s="50">
        <f t="shared" si="19"/>
        <v>312089102.43967175</v>
      </c>
      <c r="D104" s="51">
        <f t="shared" si="20"/>
        <v>10141984.567160374</v>
      </c>
      <c r="E104" s="52">
        <f t="shared" si="21"/>
        <v>0</v>
      </c>
      <c r="F104" s="51">
        <f t="shared" si="22"/>
        <v>10141984.567160374</v>
      </c>
      <c r="G104" s="51">
        <f t="shared" si="23"/>
        <v>8841613.3069950752</v>
      </c>
      <c r="H104" s="51">
        <f t="shared" si="24"/>
        <v>1300371.2601652991</v>
      </c>
      <c r="I104" s="51">
        <f t="shared" si="25"/>
        <v>303247489.13267666</v>
      </c>
      <c r="J104" s="51">
        <f>SUM($H$17:$H104)</f>
        <v>239542131.04278949</v>
      </c>
      <c r="K104" s="12"/>
    </row>
    <row r="105" spans="1:11">
      <c r="A105" s="53">
        <f>IF(Values_Entered,A104+1,"")</f>
        <v>89</v>
      </c>
      <c r="B105" s="49">
        <f t="shared" si="18"/>
        <v>45809</v>
      </c>
      <c r="C105" s="50">
        <f t="shared" si="19"/>
        <v>303247489.13267666</v>
      </c>
      <c r="D105" s="51">
        <f t="shared" si="20"/>
        <v>10141984.567160374</v>
      </c>
      <c r="E105" s="52">
        <f t="shared" si="21"/>
        <v>0</v>
      </c>
      <c r="F105" s="51">
        <f t="shared" si="22"/>
        <v>10141984.567160374</v>
      </c>
      <c r="G105" s="51">
        <f t="shared" si="23"/>
        <v>8878453.3624408878</v>
      </c>
      <c r="H105" s="51">
        <f t="shared" si="24"/>
        <v>1263531.2047194862</v>
      </c>
      <c r="I105" s="51">
        <f t="shared" si="25"/>
        <v>294369035.77023578</v>
      </c>
      <c r="J105" s="51">
        <f>SUM($H$17:$H105)</f>
        <v>240805662.24750897</v>
      </c>
      <c r="K105" s="12"/>
    </row>
    <row r="106" spans="1:11">
      <c r="A106" s="53">
        <f>IF(Values_Entered,A105+1,"")</f>
        <v>90</v>
      </c>
      <c r="B106" s="49">
        <f t="shared" si="18"/>
        <v>45839</v>
      </c>
      <c r="C106" s="50">
        <f t="shared" si="19"/>
        <v>294369035.77023578</v>
      </c>
      <c r="D106" s="51">
        <f t="shared" si="20"/>
        <v>10141984.567160374</v>
      </c>
      <c r="E106" s="52">
        <f t="shared" si="21"/>
        <v>0</v>
      </c>
      <c r="F106" s="51">
        <f t="shared" si="22"/>
        <v>10141984.567160374</v>
      </c>
      <c r="G106" s="51">
        <f t="shared" si="23"/>
        <v>8915446.9181177244</v>
      </c>
      <c r="H106" s="51">
        <f t="shared" si="24"/>
        <v>1226537.6490426492</v>
      </c>
      <c r="I106" s="51">
        <f t="shared" si="25"/>
        <v>285453588.85211807</v>
      </c>
      <c r="J106" s="51">
        <f>SUM($H$17:$H106)</f>
        <v>242032199.89655161</v>
      </c>
      <c r="K106" s="12"/>
    </row>
    <row r="107" spans="1:11">
      <c r="A107" s="53">
        <f>IF(Values_Entered,A106+1,"")</f>
        <v>91</v>
      </c>
      <c r="B107" s="49">
        <f t="shared" si="18"/>
        <v>45870</v>
      </c>
      <c r="C107" s="50">
        <f t="shared" si="19"/>
        <v>285453588.85211807</v>
      </c>
      <c r="D107" s="51">
        <f t="shared" si="20"/>
        <v>10141984.567160374</v>
      </c>
      <c r="E107" s="52">
        <f t="shared" si="21"/>
        <v>0</v>
      </c>
      <c r="F107" s="51">
        <f t="shared" si="22"/>
        <v>10141984.567160374</v>
      </c>
      <c r="G107" s="51">
        <f t="shared" si="23"/>
        <v>8952594.6136098821</v>
      </c>
      <c r="H107" s="51">
        <f t="shared" si="24"/>
        <v>1189389.9535504922</v>
      </c>
      <c r="I107" s="51">
        <f t="shared" si="25"/>
        <v>276500994.23850816</v>
      </c>
      <c r="J107" s="51">
        <f>SUM($H$17:$H107)</f>
        <v>243221589.8501021</v>
      </c>
      <c r="K107" s="12"/>
    </row>
    <row r="108" spans="1:11">
      <c r="A108" s="53">
        <f>IF(Values_Entered,A107+1,"")</f>
        <v>92</v>
      </c>
      <c r="B108" s="49">
        <f t="shared" si="18"/>
        <v>45901</v>
      </c>
      <c r="C108" s="50">
        <f t="shared" si="19"/>
        <v>276500994.23850816</v>
      </c>
      <c r="D108" s="51">
        <f t="shared" si="20"/>
        <v>10141984.567160374</v>
      </c>
      <c r="E108" s="52">
        <f t="shared" si="21"/>
        <v>0</v>
      </c>
      <c r="F108" s="51">
        <f t="shared" si="22"/>
        <v>10141984.567160374</v>
      </c>
      <c r="G108" s="51">
        <f t="shared" si="23"/>
        <v>8989897.0911665894</v>
      </c>
      <c r="H108" s="51">
        <f t="shared" si="24"/>
        <v>1152087.4759937841</v>
      </c>
      <c r="I108" s="51">
        <f t="shared" si="25"/>
        <v>267511097.14734158</v>
      </c>
      <c r="J108" s="51">
        <f>SUM($H$17:$H108)</f>
        <v>244373677.32609588</v>
      </c>
      <c r="K108" s="12"/>
    </row>
    <row r="109" spans="1:11">
      <c r="A109" s="53">
        <f>IF(Values_Entered,A108+1,"")</f>
        <v>93</v>
      </c>
      <c r="B109" s="49">
        <f t="shared" si="18"/>
        <v>45931</v>
      </c>
      <c r="C109" s="50">
        <f t="shared" si="19"/>
        <v>267511097.14734158</v>
      </c>
      <c r="D109" s="51">
        <f t="shared" si="20"/>
        <v>10141984.567160374</v>
      </c>
      <c r="E109" s="52">
        <f t="shared" si="21"/>
        <v>0</v>
      </c>
      <c r="F109" s="51">
        <f t="shared" si="22"/>
        <v>10141984.567160374</v>
      </c>
      <c r="G109" s="51">
        <f t="shared" si="23"/>
        <v>9027354.9957131166</v>
      </c>
      <c r="H109" s="51">
        <f t="shared" si="24"/>
        <v>1114629.5714472567</v>
      </c>
      <c r="I109" s="51">
        <f t="shared" si="25"/>
        <v>258483742.15162846</v>
      </c>
      <c r="J109" s="51">
        <f>SUM($H$17:$H109)</f>
        <v>245488306.89754313</v>
      </c>
      <c r="K109" s="12"/>
    </row>
    <row r="110" spans="1:11">
      <c r="A110" s="53">
        <f>IF(Values_Entered,A109+1,"")</f>
        <v>94</v>
      </c>
      <c r="B110" s="49">
        <f t="shared" si="18"/>
        <v>45962</v>
      </c>
      <c r="C110" s="50">
        <f t="shared" si="19"/>
        <v>258483742.15162846</v>
      </c>
      <c r="D110" s="51">
        <f t="shared" si="20"/>
        <v>10141984.567160374</v>
      </c>
      <c r="E110" s="52">
        <f t="shared" si="21"/>
        <v>0</v>
      </c>
      <c r="F110" s="51">
        <f t="shared" si="22"/>
        <v>10141984.567160374</v>
      </c>
      <c r="G110" s="51">
        <f t="shared" si="23"/>
        <v>9064968.9748619217</v>
      </c>
      <c r="H110" s="51">
        <f t="shared" si="24"/>
        <v>1077015.592298452</v>
      </c>
      <c r="I110" s="51">
        <f t="shared" si="25"/>
        <v>249418773.17676654</v>
      </c>
      <c r="J110" s="51">
        <f>SUM($H$17:$H110)</f>
        <v>246565322.48984158</v>
      </c>
      <c r="K110" s="12"/>
    </row>
    <row r="111" spans="1:11">
      <c r="A111" s="53">
        <f>IF(Values_Entered,A110+1,"")</f>
        <v>95</v>
      </c>
      <c r="B111" s="49">
        <f t="shared" si="18"/>
        <v>45992</v>
      </c>
      <c r="C111" s="50">
        <f t="shared" si="19"/>
        <v>249418773.17676654</v>
      </c>
      <c r="D111" s="51">
        <f t="shared" si="20"/>
        <v>10141984.567160374</v>
      </c>
      <c r="E111" s="52">
        <f t="shared" si="21"/>
        <v>0</v>
      </c>
      <c r="F111" s="51">
        <f t="shared" si="22"/>
        <v>10141984.567160374</v>
      </c>
      <c r="G111" s="51">
        <f t="shared" si="23"/>
        <v>9102739.6789238453</v>
      </c>
      <c r="H111" s="51">
        <f t="shared" si="24"/>
        <v>1039244.8882365273</v>
      </c>
      <c r="I111" s="51">
        <f t="shared" si="25"/>
        <v>240316033.4978427</v>
      </c>
      <c r="J111" s="51">
        <f>SUM($H$17:$H111)</f>
        <v>247604567.3780781</v>
      </c>
      <c r="K111" s="12"/>
    </row>
    <row r="112" spans="1:11">
      <c r="A112" s="53">
        <f>IF(Values_Entered,A111+1,"")</f>
        <v>96</v>
      </c>
      <c r="B112" s="49">
        <f t="shared" si="18"/>
        <v>46023</v>
      </c>
      <c r="C112" s="50">
        <f t="shared" si="19"/>
        <v>240316033.4978427</v>
      </c>
      <c r="D112" s="51">
        <f t="shared" si="20"/>
        <v>10141984.567160374</v>
      </c>
      <c r="E112" s="52">
        <f t="shared" si="21"/>
        <v>0</v>
      </c>
      <c r="F112" s="51">
        <f t="shared" si="22"/>
        <v>10141984.567160374</v>
      </c>
      <c r="G112" s="51">
        <f t="shared" si="23"/>
        <v>9140667.7609193623</v>
      </c>
      <c r="H112" s="51">
        <f t="shared" si="24"/>
        <v>1001316.8062410112</v>
      </c>
      <c r="I112" s="51">
        <f t="shared" si="25"/>
        <v>231175365.73692334</v>
      </c>
      <c r="J112" s="51">
        <f>SUM($H$17:$H112)</f>
        <v>248605884.18431911</v>
      </c>
      <c r="K112" s="12"/>
    </row>
    <row r="113" spans="1:11">
      <c r="A113" s="53">
        <f>IF(Values_Entered,A112+1,"")</f>
        <v>97</v>
      </c>
      <c r="B113" s="49">
        <f t="shared" si="18"/>
        <v>46054</v>
      </c>
      <c r="C113" s="50">
        <f t="shared" si="19"/>
        <v>231175365.73692334</v>
      </c>
      <c r="D113" s="51">
        <f t="shared" si="20"/>
        <v>10141984.567160374</v>
      </c>
      <c r="E113" s="52">
        <f t="shared" si="21"/>
        <v>0</v>
      </c>
      <c r="F113" s="51">
        <f t="shared" si="22"/>
        <v>10141984.567160374</v>
      </c>
      <c r="G113" s="51">
        <f t="shared" si="23"/>
        <v>9178753.8765898589</v>
      </c>
      <c r="H113" s="51">
        <f t="shared" si="24"/>
        <v>963230.69057051407</v>
      </c>
      <c r="I113" s="51">
        <f t="shared" si="25"/>
        <v>221996611.86033347</v>
      </c>
      <c r="J113" s="51">
        <f>SUM($H$17:$H113)</f>
        <v>249569114.87488961</v>
      </c>
      <c r="K113" s="12"/>
    </row>
    <row r="114" spans="1:11">
      <c r="A114" s="53">
        <f>IF(Values_Entered,A113+1,"")</f>
        <v>98</v>
      </c>
      <c r="B114" s="49">
        <f t="shared" si="18"/>
        <v>46082</v>
      </c>
      <c r="C114" s="50">
        <f t="shared" si="19"/>
        <v>221996611.86033347</v>
      </c>
      <c r="D114" s="51">
        <f t="shared" si="20"/>
        <v>10141984.567160374</v>
      </c>
      <c r="E114" s="52">
        <f t="shared" si="21"/>
        <v>0</v>
      </c>
      <c r="F114" s="51">
        <f t="shared" si="22"/>
        <v>10141984.567160374</v>
      </c>
      <c r="G114" s="51">
        <f t="shared" si="23"/>
        <v>9216998.6844089832</v>
      </c>
      <c r="H114" s="51">
        <f t="shared" si="24"/>
        <v>924985.88275138952</v>
      </c>
      <c r="I114" s="51">
        <f t="shared" si="25"/>
        <v>212779613.17592448</v>
      </c>
      <c r="J114" s="51">
        <f>SUM($H$17:$H114)</f>
        <v>250494100.75764099</v>
      </c>
      <c r="K114" s="12"/>
    </row>
    <row r="115" spans="1:11">
      <c r="A115" s="53">
        <f>IF(Values_Entered,A114+1,"")</f>
        <v>99</v>
      </c>
      <c r="B115" s="49">
        <f t="shared" si="18"/>
        <v>46113</v>
      </c>
      <c r="C115" s="50">
        <f t="shared" si="19"/>
        <v>212779613.17592448</v>
      </c>
      <c r="D115" s="51">
        <f t="shared" si="20"/>
        <v>10141984.567160374</v>
      </c>
      <c r="E115" s="52">
        <f t="shared" si="21"/>
        <v>0</v>
      </c>
      <c r="F115" s="51">
        <f t="shared" si="22"/>
        <v>10141984.567160374</v>
      </c>
      <c r="G115" s="51">
        <f t="shared" si="23"/>
        <v>9255402.8455940224</v>
      </c>
      <c r="H115" s="51">
        <f t="shared" si="24"/>
        <v>886581.72156635206</v>
      </c>
      <c r="I115" s="51">
        <f t="shared" si="25"/>
        <v>203524210.33033046</v>
      </c>
      <c r="J115" s="51">
        <f>SUM($H$17:$H115)</f>
        <v>251380682.47920734</v>
      </c>
      <c r="K115" s="12"/>
    </row>
    <row r="116" spans="1:11">
      <c r="A116" s="53">
        <f>IF(Values_Entered,A115+1,"")</f>
        <v>100</v>
      </c>
      <c r="B116" s="49">
        <f t="shared" si="18"/>
        <v>46143</v>
      </c>
      <c r="C116" s="50">
        <f t="shared" si="19"/>
        <v>203524210.33033046</v>
      </c>
      <c r="D116" s="51">
        <f t="shared" si="20"/>
        <v>10141984.567160374</v>
      </c>
      <c r="E116" s="52">
        <f t="shared" si="21"/>
        <v>0</v>
      </c>
      <c r="F116" s="51">
        <f t="shared" si="22"/>
        <v>10141984.567160374</v>
      </c>
      <c r="G116" s="51">
        <f t="shared" si="23"/>
        <v>9293967.0241173301</v>
      </c>
      <c r="H116" s="51">
        <f t="shared" si="24"/>
        <v>848017.54304304358</v>
      </c>
      <c r="I116" s="51">
        <f t="shared" si="25"/>
        <v>194230243.30621314</v>
      </c>
      <c r="J116" s="51">
        <f>SUM($H$17:$H116)</f>
        <v>252228700.02225038</v>
      </c>
      <c r="K116" s="12"/>
    </row>
    <row r="117" spans="1:11">
      <c r="A117" s="53">
        <f>IF(Values_Entered,A116+1,"")</f>
        <v>101</v>
      </c>
      <c r="B117" s="49">
        <f t="shared" si="18"/>
        <v>46174</v>
      </c>
      <c r="C117" s="50">
        <f t="shared" si="19"/>
        <v>194230243.30621314</v>
      </c>
      <c r="D117" s="51">
        <f t="shared" si="20"/>
        <v>10141984.567160374</v>
      </c>
      <c r="E117" s="52">
        <f t="shared" si="21"/>
        <v>0</v>
      </c>
      <c r="F117" s="51">
        <f t="shared" si="22"/>
        <v>10141984.567160374</v>
      </c>
      <c r="G117" s="51">
        <f t="shared" si="23"/>
        <v>9332691.8867178187</v>
      </c>
      <c r="H117" s="51">
        <f t="shared" si="24"/>
        <v>809292.68044255476</v>
      </c>
      <c r="I117" s="51">
        <f t="shared" si="25"/>
        <v>184897551.41949531</v>
      </c>
      <c r="J117" s="51">
        <f>SUM($H$17:$H117)</f>
        <v>253037992.70269293</v>
      </c>
      <c r="K117" s="12"/>
    </row>
    <row r="118" spans="1:11">
      <c r="A118" s="53">
        <f>IF(Values_Entered,A117+1,"")</f>
        <v>102</v>
      </c>
      <c r="B118" s="49">
        <f t="shared" si="18"/>
        <v>46204</v>
      </c>
      <c r="C118" s="50">
        <f t="shared" si="19"/>
        <v>184897551.41949531</v>
      </c>
      <c r="D118" s="51">
        <f t="shared" si="20"/>
        <v>10141984.567160374</v>
      </c>
      <c r="E118" s="52">
        <f t="shared" si="21"/>
        <v>0</v>
      </c>
      <c r="F118" s="51">
        <f t="shared" si="22"/>
        <v>10141984.567160374</v>
      </c>
      <c r="G118" s="51">
        <f t="shared" si="23"/>
        <v>9371578.1029124763</v>
      </c>
      <c r="H118" s="51">
        <f t="shared" si="24"/>
        <v>770406.46424789715</v>
      </c>
      <c r="I118" s="51">
        <f t="shared" si="25"/>
        <v>175525973.31658283</v>
      </c>
      <c r="J118" s="51">
        <f>SUM($H$17:$H118)</f>
        <v>253808399.16694081</v>
      </c>
    </row>
    <row r="119" spans="1:11">
      <c r="A119" s="53">
        <f>IF(Values_Entered,A118+1,"")</f>
        <v>103</v>
      </c>
      <c r="B119" s="49">
        <f t="shared" ref="B119:B136" si="26">IF(Pay_Num&lt;&gt;"",DATE(YEAR(Loan_Start),MONTH(Loan_Start)+(Pay_Num)*12/Num_Pmt_Per_Year,DAY(Loan_Start)),"")</f>
        <v>46235</v>
      </c>
      <c r="C119" s="50">
        <f t="shared" ref="C119:C136" si="27">IF(Pay_Num&lt;&gt;"",I118,"")</f>
        <v>175525973.31658283</v>
      </c>
      <c r="D119" s="51">
        <f t="shared" ref="D119:D136" si="28">IF(Pay_Num&lt;&gt;"",Scheduled_Monthly_Payment,"")</f>
        <v>10141984.567160374</v>
      </c>
      <c r="E119" s="52">
        <f t="shared" ref="E119:E136" si="29">IF(AND(Pay_Num&lt;&gt;"",Sched_Pay+Scheduled_Extra_Payments&lt;Beg_Bal),Scheduled_Extra_Payments,IF(AND(Pay_Num&lt;&gt;"",Beg_Bal-Sched_Pay&gt;0),Beg_Bal-Sched_Pay,IF(Pay_Num&lt;&gt;"",0,"")))</f>
        <v>0</v>
      </c>
      <c r="F119" s="51">
        <f t="shared" ref="F119:F136" si="30">IF(AND(Pay_Num&lt;&gt;"",Sched_Pay+Extra_Pay&lt;Beg_Bal),Sched_Pay+Extra_Pay,IF(Pay_Num&lt;&gt;"",Beg_Bal,""))</f>
        <v>10141984.567160374</v>
      </c>
      <c r="G119" s="51">
        <f t="shared" ref="G119:G136" si="31">IF(Pay_Num&lt;&gt;"",Total_Pay-Int,"")</f>
        <v>9410626.3450079449</v>
      </c>
      <c r="H119" s="51">
        <f t="shared" ref="H119:H136" si="32">IF(Pay_Num&lt;&gt;"",Beg_Bal*Interest_Rate/Num_Pmt_Per_Year,"")</f>
        <v>731358.22215242859</v>
      </c>
      <c r="I119" s="51">
        <f t="shared" ref="I119:I136" si="33">IF(AND(Pay_Num&lt;&gt;"",Sched_Pay+Extra_Pay&lt;Beg_Bal),Beg_Bal-Princ,IF(Pay_Num&lt;&gt;"",0,""))</f>
        <v>166115346.97157487</v>
      </c>
      <c r="J119" s="51">
        <f>SUM($H$17:$H119)</f>
        <v>254539757.38909325</v>
      </c>
    </row>
    <row r="120" spans="1:11">
      <c r="A120" s="53">
        <f>IF(Values_Entered,A119+1,"")</f>
        <v>104</v>
      </c>
      <c r="B120" s="49">
        <f t="shared" si="26"/>
        <v>46266</v>
      </c>
      <c r="C120" s="50">
        <f t="shared" si="27"/>
        <v>166115346.97157487</v>
      </c>
      <c r="D120" s="51">
        <f t="shared" si="28"/>
        <v>10141984.567160374</v>
      </c>
      <c r="E120" s="52">
        <f t="shared" si="29"/>
        <v>0</v>
      </c>
      <c r="F120" s="51">
        <f t="shared" si="30"/>
        <v>10141984.567160374</v>
      </c>
      <c r="G120" s="51">
        <f t="shared" si="31"/>
        <v>9449837.2881121449</v>
      </c>
      <c r="H120" s="51">
        <f t="shared" si="32"/>
        <v>692147.27904822864</v>
      </c>
      <c r="I120" s="51">
        <f t="shared" si="33"/>
        <v>156665509.68346274</v>
      </c>
      <c r="J120" s="51">
        <f>SUM($H$17:$H120)</f>
        <v>255231904.66814148</v>
      </c>
    </row>
    <row r="121" spans="1:11">
      <c r="A121" s="53">
        <f>IF(Values_Entered,A120+1,"")</f>
        <v>105</v>
      </c>
      <c r="B121" s="49">
        <f t="shared" si="26"/>
        <v>46296</v>
      </c>
      <c r="C121" s="50">
        <f t="shared" si="27"/>
        <v>156665509.68346274</v>
      </c>
      <c r="D121" s="51">
        <f t="shared" si="28"/>
        <v>10141984.567160374</v>
      </c>
      <c r="E121" s="52">
        <f t="shared" si="29"/>
        <v>0</v>
      </c>
      <c r="F121" s="51">
        <f t="shared" si="30"/>
        <v>10141984.567160374</v>
      </c>
      <c r="G121" s="51">
        <f t="shared" si="31"/>
        <v>9489211.6101459451</v>
      </c>
      <c r="H121" s="51">
        <f t="shared" si="32"/>
        <v>652772.9570144281</v>
      </c>
      <c r="I121" s="51">
        <f t="shared" si="33"/>
        <v>147176298.07331678</v>
      </c>
      <c r="J121" s="51">
        <f>SUM($H$17:$H121)</f>
        <v>255884677.62515593</v>
      </c>
      <c r="K121" s="12"/>
    </row>
    <row r="122" spans="1:11">
      <c r="A122" s="53">
        <f>IF(Values_Entered,A121+1,"")</f>
        <v>106</v>
      </c>
      <c r="B122" s="49">
        <f t="shared" si="26"/>
        <v>46327</v>
      </c>
      <c r="C122" s="50">
        <f t="shared" si="27"/>
        <v>147176298.07331678</v>
      </c>
      <c r="D122" s="51">
        <f t="shared" si="28"/>
        <v>10141984.567160374</v>
      </c>
      <c r="E122" s="52">
        <f t="shared" si="29"/>
        <v>0</v>
      </c>
      <c r="F122" s="51">
        <f t="shared" si="30"/>
        <v>10141984.567160374</v>
      </c>
      <c r="G122" s="51">
        <f t="shared" si="31"/>
        <v>9528749.9918548875</v>
      </c>
      <c r="H122" s="51">
        <f t="shared" si="32"/>
        <v>613234.57530548668</v>
      </c>
      <c r="I122" s="51">
        <f t="shared" si="33"/>
        <v>137647548.08146191</v>
      </c>
      <c r="J122" s="51">
        <f>SUM($H$17:$H122)</f>
        <v>256497912.20046142</v>
      </c>
      <c r="K122" s="12"/>
    </row>
    <row r="123" spans="1:11">
      <c r="A123" s="53">
        <f>IF(Values_Entered,A122+1,"")</f>
        <v>107</v>
      </c>
      <c r="B123" s="49">
        <f t="shared" si="26"/>
        <v>46357</v>
      </c>
      <c r="C123" s="50">
        <f t="shared" si="27"/>
        <v>137647548.08146191</v>
      </c>
      <c r="D123" s="51">
        <f t="shared" si="28"/>
        <v>10141984.567160374</v>
      </c>
      <c r="E123" s="52">
        <f t="shared" si="29"/>
        <v>0</v>
      </c>
      <c r="F123" s="51">
        <f t="shared" si="30"/>
        <v>10141984.567160374</v>
      </c>
      <c r="G123" s="51">
        <f t="shared" si="31"/>
        <v>9568453.1168209482</v>
      </c>
      <c r="H123" s="51">
        <f t="shared" si="32"/>
        <v>573531.45033942466</v>
      </c>
      <c r="I123" s="51">
        <f t="shared" si="33"/>
        <v>128079094.96464096</v>
      </c>
      <c r="J123" s="51">
        <f>SUM($H$17:$H123)</f>
        <v>257071443.65080085</v>
      </c>
      <c r="K123" s="12"/>
    </row>
    <row r="124" spans="1:11">
      <c r="A124" s="53">
        <f>IF(Values_Entered,A123+1,"")</f>
        <v>108</v>
      </c>
      <c r="B124" s="49">
        <f t="shared" si="26"/>
        <v>46388</v>
      </c>
      <c r="C124" s="50">
        <f t="shared" si="27"/>
        <v>128079094.96464096</v>
      </c>
      <c r="D124" s="51">
        <f t="shared" si="28"/>
        <v>10141984.567160374</v>
      </c>
      <c r="E124" s="52">
        <f t="shared" si="29"/>
        <v>0</v>
      </c>
      <c r="F124" s="51">
        <f t="shared" si="30"/>
        <v>10141984.567160374</v>
      </c>
      <c r="G124" s="51">
        <f t="shared" si="31"/>
        <v>9608321.6714743692</v>
      </c>
      <c r="H124" s="51">
        <f t="shared" si="32"/>
        <v>533662.89568600396</v>
      </c>
      <c r="I124" s="51">
        <f t="shared" si="33"/>
        <v>118470773.29316659</v>
      </c>
      <c r="J124" s="51">
        <f>SUM($H$17:$H124)</f>
        <v>257605106.54648685</v>
      </c>
      <c r="K124" s="12"/>
    </row>
    <row r="125" spans="1:11">
      <c r="A125" s="53">
        <f>IF(Values_Entered,A124+1,"")</f>
        <v>109</v>
      </c>
      <c r="B125" s="49">
        <f t="shared" si="26"/>
        <v>46419</v>
      </c>
      <c r="C125" s="50">
        <f t="shared" si="27"/>
        <v>118470773.29316659</v>
      </c>
      <c r="D125" s="51">
        <f t="shared" si="28"/>
        <v>10141984.567160374</v>
      </c>
      <c r="E125" s="52">
        <f t="shared" si="29"/>
        <v>0</v>
      </c>
      <c r="F125" s="51">
        <f t="shared" si="30"/>
        <v>10141984.567160374</v>
      </c>
      <c r="G125" s="51">
        <f t="shared" si="31"/>
        <v>9648356.3451055121</v>
      </c>
      <c r="H125" s="51">
        <f t="shared" si="32"/>
        <v>493628.22205486085</v>
      </c>
      <c r="I125" s="51">
        <f t="shared" si="33"/>
        <v>108822416.94806108</v>
      </c>
      <c r="J125" s="51">
        <f>SUM($H$17:$H125)</f>
        <v>258098734.76854172</v>
      </c>
      <c r="K125" s="12"/>
    </row>
    <row r="126" spans="1:11">
      <c r="A126" s="53">
        <f>IF(Values_Entered,A125+1,"")</f>
        <v>110</v>
      </c>
      <c r="B126" s="49">
        <f t="shared" si="26"/>
        <v>46447</v>
      </c>
      <c r="C126" s="50">
        <f t="shared" si="27"/>
        <v>108822416.94806108</v>
      </c>
      <c r="D126" s="51">
        <f t="shared" si="28"/>
        <v>10141984.567160374</v>
      </c>
      <c r="E126" s="52">
        <f t="shared" si="29"/>
        <v>0</v>
      </c>
      <c r="F126" s="51">
        <f t="shared" si="30"/>
        <v>10141984.567160374</v>
      </c>
      <c r="G126" s="51">
        <f t="shared" si="31"/>
        <v>9688557.8298767861</v>
      </c>
      <c r="H126" s="51">
        <f t="shared" si="32"/>
        <v>453426.73728358786</v>
      </c>
      <c r="I126" s="51">
        <f t="shared" si="33"/>
        <v>99133859.118184298</v>
      </c>
      <c r="J126" s="51">
        <f>SUM($H$17:$H126)</f>
        <v>258552161.50582531</v>
      </c>
      <c r="K126" s="12"/>
    </row>
    <row r="127" spans="1:11">
      <c r="A127" s="53">
        <f>IF(Values_Entered,A126+1,"")</f>
        <v>111</v>
      </c>
      <c r="B127" s="49">
        <f t="shared" si="26"/>
        <v>46478</v>
      </c>
      <c r="C127" s="50">
        <f t="shared" si="27"/>
        <v>99133859.118184298</v>
      </c>
      <c r="D127" s="51">
        <f t="shared" si="28"/>
        <v>10141984.567160374</v>
      </c>
      <c r="E127" s="52">
        <f t="shared" si="29"/>
        <v>0</v>
      </c>
      <c r="F127" s="51">
        <f t="shared" si="30"/>
        <v>10141984.567160374</v>
      </c>
      <c r="G127" s="51">
        <f t="shared" si="31"/>
        <v>9728926.820834605</v>
      </c>
      <c r="H127" s="51">
        <f t="shared" si="32"/>
        <v>413057.74632576789</v>
      </c>
      <c r="I127" s="51">
        <f t="shared" si="33"/>
        <v>89404932.297349691</v>
      </c>
      <c r="J127" s="51">
        <f>SUM($H$17:$H127)</f>
        <v>258965219.25215107</v>
      </c>
      <c r="K127" s="12"/>
    </row>
    <row r="128" spans="1:11">
      <c r="A128" s="53">
        <f>IF(Values_Entered,A127+1,"")</f>
        <v>112</v>
      </c>
      <c r="B128" s="49">
        <f t="shared" si="26"/>
        <v>46508</v>
      </c>
      <c r="C128" s="50">
        <f t="shared" si="27"/>
        <v>89404932.297349691</v>
      </c>
      <c r="D128" s="51">
        <f t="shared" si="28"/>
        <v>10141984.567160374</v>
      </c>
      <c r="E128" s="52">
        <f t="shared" si="29"/>
        <v>0</v>
      </c>
      <c r="F128" s="51">
        <f t="shared" si="30"/>
        <v>10141984.567160374</v>
      </c>
      <c r="G128" s="51">
        <f t="shared" si="31"/>
        <v>9769464.0159214158</v>
      </c>
      <c r="H128" s="51">
        <f t="shared" si="32"/>
        <v>372520.55123895709</v>
      </c>
      <c r="I128" s="51">
        <f t="shared" si="33"/>
        <v>79635468.281428277</v>
      </c>
      <c r="J128" s="51">
        <f>SUM($H$17:$H128)</f>
        <v>259337739.80339003</v>
      </c>
      <c r="K128" s="12"/>
    </row>
    <row r="129" spans="1:13">
      <c r="A129" s="53">
        <f>IF(Values_Entered,A128+1,"")</f>
        <v>113</v>
      </c>
      <c r="B129" s="49">
        <f t="shared" si="26"/>
        <v>46539</v>
      </c>
      <c r="C129" s="50">
        <f t="shared" si="27"/>
        <v>79635468.281428277</v>
      </c>
      <c r="D129" s="51">
        <f t="shared" si="28"/>
        <v>10141984.567160374</v>
      </c>
      <c r="E129" s="52">
        <f t="shared" si="29"/>
        <v>0</v>
      </c>
      <c r="F129" s="51">
        <f t="shared" si="30"/>
        <v>10141984.567160374</v>
      </c>
      <c r="G129" s="51">
        <f t="shared" si="31"/>
        <v>9810170.1159877554</v>
      </c>
      <c r="H129" s="51">
        <f t="shared" si="32"/>
        <v>331814.45117261785</v>
      </c>
      <c r="I129" s="51">
        <f t="shared" si="33"/>
        <v>69825298.16544053</v>
      </c>
      <c r="J129" s="51">
        <f>SUM($H$17:$H129)</f>
        <v>259669554.25456265</v>
      </c>
      <c r="K129" s="12"/>
    </row>
    <row r="130" spans="1:13">
      <c r="A130" s="53">
        <f>IF(Values_Entered,A129+1,"")</f>
        <v>114</v>
      </c>
      <c r="B130" s="49">
        <f t="shared" si="26"/>
        <v>46569</v>
      </c>
      <c r="C130" s="50">
        <f t="shared" si="27"/>
        <v>69825298.16544053</v>
      </c>
      <c r="D130" s="51">
        <f t="shared" si="28"/>
        <v>10141984.567160374</v>
      </c>
      <c r="E130" s="52">
        <f t="shared" si="29"/>
        <v>0</v>
      </c>
      <c r="F130" s="51">
        <f t="shared" si="30"/>
        <v>10141984.567160374</v>
      </c>
      <c r="G130" s="51">
        <f t="shared" si="31"/>
        <v>9851045.8248043712</v>
      </c>
      <c r="H130" s="51">
        <f t="shared" si="32"/>
        <v>290938.74235600221</v>
      </c>
      <c r="I130" s="51">
        <f t="shared" si="33"/>
        <v>59974252.340636156</v>
      </c>
      <c r="J130" s="51">
        <f>SUM($H$17:$H130)</f>
        <v>259960492.99691865</v>
      </c>
      <c r="K130" s="12"/>
    </row>
    <row r="131" spans="1:13">
      <c r="A131" s="53">
        <f>IF(Values_Entered,A130+1,"")</f>
        <v>115</v>
      </c>
      <c r="B131" s="49">
        <f t="shared" si="26"/>
        <v>46600</v>
      </c>
      <c r="C131" s="50">
        <f t="shared" si="27"/>
        <v>59974252.340636156</v>
      </c>
      <c r="D131" s="51">
        <f t="shared" si="28"/>
        <v>10141984.567160374</v>
      </c>
      <c r="E131" s="52">
        <f t="shared" si="29"/>
        <v>0</v>
      </c>
      <c r="F131" s="51">
        <f t="shared" si="30"/>
        <v>10141984.567160374</v>
      </c>
      <c r="G131" s="51">
        <f t="shared" si="31"/>
        <v>9892091.8490743898</v>
      </c>
      <c r="H131" s="51">
        <f t="shared" si="32"/>
        <v>249892.718085984</v>
      </c>
      <c r="I131" s="51">
        <f t="shared" si="33"/>
        <v>50082160.49156177</v>
      </c>
      <c r="J131" s="51">
        <f>SUM($H$17:$H131)</f>
        <v>260210385.71500462</v>
      </c>
      <c r="K131" s="12"/>
    </row>
    <row r="132" spans="1:13">
      <c r="A132" s="53">
        <f>IF(Values_Entered,A131+1,"")</f>
        <v>116</v>
      </c>
      <c r="B132" s="49">
        <f t="shared" si="26"/>
        <v>46631</v>
      </c>
      <c r="C132" s="50">
        <f t="shared" si="27"/>
        <v>50082160.49156177</v>
      </c>
      <c r="D132" s="51">
        <f t="shared" si="28"/>
        <v>10141984.567160374</v>
      </c>
      <c r="E132" s="52">
        <f t="shared" si="29"/>
        <v>0</v>
      </c>
      <c r="F132" s="51">
        <f t="shared" si="30"/>
        <v>10141984.567160374</v>
      </c>
      <c r="G132" s="51">
        <f t="shared" si="31"/>
        <v>9933308.8984455336</v>
      </c>
      <c r="H132" s="51">
        <f t="shared" si="32"/>
        <v>208675.66871484069</v>
      </c>
      <c r="I132" s="51">
        <f t="shared" si="33"/>
        <v>40148851.593116239</v>
      </c>
      <c r="J132" s="51">
        <f>SUM($H$17:$H132)</f>
        <v>260419061.38371947</v>
      </c>
      <c r="K132" s="12"/>
    </row>
    <row r="133" spans="1:13" ht="13.5" thickBot="1">
      <c r="A133" s="53">
        <f>IF(Values_Entered,A132+1,"")</f>
        <v>117</v>
      </c>
      <c r="B133" s="49">
        <f t="shared" si="26"/>
        <v>46661</v>
      </c>
      <c r="C133" s="50">
        <f t="shared" si="27"/>
        <v>40148851.593116239</v>
      </c>
      <c r="D133" s="51">
        <f t="shared" si="28"/>
        <v>10141984.567160374</v>
      </c>
      <c r="E133" s="52">
        <f t="shared" si="29"/>
        <v>0</v>
      </c>
      <c r="F133" s="51">
        <f t="shared" si="30"/>
        <v>10141984.567160374</v>
      </c>
      <c r="G133" s="51">
        <f t="shared" si="31"/>
        <v>9974697.6855223887</v>
      </c>
      <c r="H133" s="51">
        <f t="shared" si="32"/>
        <v>167286.88163798433</v>
      </c>
      <c r="I133" s="51">
        <f t="shared" si="33"/>
        <v>30174153.90759385</v>
      </c>
      <c r="J133" s="51">
        <f>SUM($H$17:$H133)</f>
        <v>260586348.26535746</v>
      </c>
      <c r="K133" s="12"/>
    </row>
    <row r="134" spans="1:13">
      <c r="A134" s="53">
        <f>IF(Values_Entered,A133+1,"")</f>
        <v>118</v>
      </c>
      <c r="B134" s="49">
        <f t="shared" si="26"/>
        <v>46692</v>
      </c>
      <c r="C134" s="50">
        <f t="shared" si="27"/>
        <v>30174153.90759385</v>
      </c>
      <c r="D134" s="51">
        <f t="shared" si="28"/>
        <v>10141984.567160374</v>
      </c>
      <c r="E134" s="52">
        <f t="shared" si="29"/>
        <v>0</v>
      </c>
      <c r="F134" s="51">
        <f t="shared" si="30"/>
        <v>10141984.567160374</v>
      </c>
      <c r="G134" s="51">
        <f t="shared" si="31"/>
        <v>10016258.925878733</v>
      </c>
      <c r="H134" s="51">
        <f t="shared" si="32"/>
        <v>125725.64128164104</v>
      </c>
      <c r="I134" s="51">
        <f t="shared" si="33"/>
        <v>20157894.981715117</v>
      </c>
      <c r="J134" s="51">
        <f>SUM($H$17:$H134)</f>
        <v>260712073.9066391</v>
      </c>
      <c r="K134" s="380" t="s">
        <v>83</v>
      </c>
      <c r="L134" s="380"/>
      <c r="M134" s="381"/>
    </row>
    <row r="135" spans="1:13">
      <c r="A135" s="53">
        <f>IF(Values_Entered,A134+1,"")</f>
        <v>119</v>
      </c>
      <c r="B135" s="49">
        <f t="shared" si="26"/>
        <v>46722</v>
      </c>
      <c r="C135" s="50">
        <f t="shared" si="27"/>
        <v>20157894.981715117</v>
      </c>
      <c r="D135" s="51">
        <f t="shared" si="28"/>
        <v>10141984.567160374</v>
      </c>
      <c r="E135" s="52">
        <f t="shared" si="29"/>
        <v>0</v>
      </c>
      <c r="F135" s="51">
        <f t="shared" si="30"/>
        <v>10141984.567160374</v>
      </c>
      <c r="G135" s="51">
        <f t="shared" si="31"/>
        <v>10057993.338069893</v>
      </c>
      <c r="H135" s="51">
        <f t="shared" si="32"/>
        <v>83991.229090479654</v>
      </c>
      <c r="I135" s="51">
        <f t="shared" si="33"/>
        <v>10099901.643645223</v>
      </c>
      <c r="J135" s="51">
        <f>SUM($H$17:$H135)</f>
        <v>260796065.13572958</v>
      </c>
      <c r="K135" s="15" t="s">
        <v>5</v>
      </c>
      <c r="L135" s="15" t="s">
        <v>6</v>
      </c>
      <c r="M135" s="34" t="s">
        <v>8</v>
      </c>
    </row>
    <row r="136" spans="1:13" ht="13.5" thickBot="1">
      <c r="A136" s="53">
        <f>IF(Values_Entered,A135+1,"")</f>
        <v>120</v>
      </c>
      <c r="B136" s="49">
        <f t="shared" si="26"/>
        <v>46753</v>
      </c>
      <c r="C136" s="50">
        <f t="shared" si="27"/>
        <v>10099901.643645223</v>
      </c>
      <c r="D136" s="51">
        <f t="shared" si="28"/>
        <v>10141984.567160374</v>
      </c>
      <c r="E136" s="52">
        <f t="shared" si="29"/>
        <v>0</v>
      </c>
      <c r="F136" s="51">
        <f t="shared" si="30"/>
        <v>10099901.643645223</v>
      </c>
      <c r="G136" s="51">
        <f t="shared" si="31"/>
        <v>10057818.720130036</v>
      </c>
      <c r="H136" s="51">
        <f t="shared" si="32"/>
        <v>42082.923515188428</v>
      </c>
      <c r="I136" s="51">
        <f t="shared" si="33"/>
        <v>0</v>
      </c>
      <c r="J136" s="51">
        <f>SUM($H$17:$H136)</f>
        <v>260838148.05924478</v>
      </c>
      <c r="K136" s="35">
        <f>SUM(G17:G136)-L136</f>
        <v>700926012.40834379</v>
      </c>
      <c r="L136" s="36">
        <f>SUM(H17:H120)</f>
        <v>255231904.66814148</v>
      </c>
      <c r="M136" s="37">
        <f>SUM(G17:G136)</f>
        <v>956157917.07648528</v>
      </c>
    </row>
    <row r="137" spans="1:13">
      <c r="A137" s="12"/>
      <c r="B137" s="2"/>
      <c r="C137" s="2"/>
      <c r="D137" s="2"/>
      <c r="E137" s="2"/>
      <c r="F137" s="2"/>
      <c r="G137" s="2"/>
      <c r="H137" s="2"/>
      <c r="I137" s="2"/>
      <c r="J137" s="2"/>
    </row>
  </sheetData>
  <sheetProtection selectLockedCells="1"/>
  <mergeCells count="5">
    <mergeCell ref="B4:D4"/>
    <mergeCell ref="H4:J4"/>
    <mergeCell ref="C12:D12"/>
    <mergeCell ref="K26:M26"/>
    <mergeCell ref="K134:M134"/>
  </mergeCells>
  <dataValidations disablePrompts="1" count="3">
    <dataValidation allowBlank="1" showInputMessage="1" showErrorMessage="1" promptTitle="Extra Payments" prompt="Enter an amount here if you want to make additional principal payments every pay period._x000a__x000a_For occasional extra payments, enter the extra principal amounts directly in the 'Extra Payment' column below." sqref="D10"/>
    <dataValidation type="date" operator="greaterThanOrEqual" allowBlank="1" showInputMessage="1" showErrorMessage="1" errorTitle="Date" error="Please enter a valid date greater than or equal to January 1, 1900." sqref="D9">
      <formula1>1</formula1>
    </dataValidation>
    <dataValidation type="whole" allowBlank="1" showInputMessage="1" showErrorMessage="1" errorTitle="Years" error="Please enter a whole number of years from 1 to 40." sqref="D7">
      <formula1>1</formula1>
      <formula2>40</formula2>
    </dataValidation>
  </dataValidations>
  <printOptions horizontalCentered="1"/>
  <pageMargins left="0.5" right="0.5" top="0.75" bottom="0.75" header="0.5" footer="0.5"/>
  <pageSetup scale="50" fitToWidth="0" orientation="portrait" horizontalDpi="300" verticalDpi="300" r:id="rId1"/>
  <headerFooter alignWithMargins="0"/>
  <ignoredErrors>
    <ignoredError sqref="E19"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I67"/>
  <sheetViews>
    <sheetView zoomScaleNormal="100" workbookViewId="0">
      <selection activeCell="D8" sqref="D8"/>
    </sheetView>
  </sheetViews>
  <sheetFormatPr defaultRowHeight="12.75"/>
  <cols>
    <col min="1" max="1" width="4.85546875" style="96" customWidth="1"/>
    <col min="2" max="2" width="22.7109375" customWidth="1"/>
    <col min="3" max="3" width="14.7109375" customWidth="1"/>
    <col min="4" max="4" width="15.28515625" customWidth="1"/>
    <col min="5" max="28" width="12.7109375" customWidth="1"/>
    <col min="29" max="33" width="12.7109375" style="93" customWidth="1"/>
    <col min="34" max="34" width="9.140625" style="93"/>
  </cols>
  <sheetData>
    <row r="1" spans="1:34" s="96" customFormat="1">
      <c r="A1" s="96">
        <v>1</v>
      </c>
      <c r="B1" s="96" t="s">
        <v>52</v>
      </c>
      <c r="C1" s="96" t="s">
        <v>53</v>
      </c>
      <c r="D1" s="96" t="s">
        <v>54</v>
      </c>
      <c r="E1" s="96" t="s">
        <v>55</v>
      </c>
      <c r="F1" s="96" t="s">
        <v>56</v>
      </c>
      <c r="G1" s="96" t="s">
        <v>57</v>
      </c>
      <c r="H1" s="96" t="s">
        <v>59</v>
      </c>
      <c r="I1" s="96" t="s">
        <v>58</v>
      </c>
      <c r="J1" s="96" t="s">
        <v>60</v>
      </c>
      <c r="K1" s="96" t="s">
        <v>61</v>
      </c>
      <c r="L1" s="96" t="s">
        <v>62</v>
      </c>
      <c r="M1" s="96" t="s">
        <v>63</v>
      </c>
      <c r="N1" s="96" t="s">
        <v>64</v>
      </c>
      <c r="O1" s="96" t="s">
        <v>65</v>
      </c>
      <c r="P1" s="96" t="s">
        <v>66</v>
      </c>
      <c r="Q1" s="96" t="s">
        <v>67</v>
      </c>
      <c r="R1" s="96" t="s">
        <v>70</v>
      </c>
      <c r="S1" s="96" t="s">
        <v>68</v>
      </c>
      <c r="T1" s="96" t="s">
        <v>69</v>
      </c>
      <c r="U1" s="96" t="s">
        <v>71</v>
      </c>
      <c r="V1" s="96" t="s">
        <v>72</v>
      </c>
      <c r="W1" s="96" t="s">
        <v>73</v>
      </c>
      <c r="X1" s="96" t="s">
        <v>74</v>
      </c>
      <c r="Y1" s="96" t="s">
        <v>75</v>
      </c>
      <c r="Z1" s="96" t="s">
        <v>76</v>
      </c>
      <c r="AA1" s="96" t="s">
        <v>77</v>
      </c>
      <c r="AB1" s="96" t="s">
        <v>78</v>
      </c>
      <c r="AC1" s="110"/>
      <c r="AD1" s="110"/>
      <c r="AE1" s="110"/>
      <c r="AF1" s="110"/>
      <c r="AG1" s="110"/>
      <c r="AH1" s="110"/>
    </row>
    <row r="2" spans="1:34">
      <c r="A2" s="96">
        <v>2</v>
      </c>
    </row>
    <row r="3" spans="1:34">
      <c r="A3" s="96">
        <v>3</v>
      </c>
      <c r="B3" s="293" t="s">
        <v>147</v>
      </c>
      <c r="C3" s="291">
        <f>IRR(C8:AB8)</f>
        <v>0.27625302585574385</v>
      </c>
    </row>
    <row r="4" spans="1:34">
      <c r="A4" s="96">
        <v>4</v>
      </c>
      <c r="B4" s="290" t="s">
        <v>146</v>
      </c>
      <c r="C4" s="294">
        <v>25</v>
      </c>
      <c r="D4" s="133"/>
    </row>
    <row r="5" spans="1:34">
      <c r="A5" s="96">
        <v>5</v>
      </c>
      <c r="B5" s="292" t="s">
        <v>95</v>
      </c>
      <c r="C5" s="133">
        <f>'Investment Memorandum'!C16</f>
        <v>297840000</v>
      </c>
    </row>
    <row r="6" spans="1:34">
      <c r="A6" s="96">
        <v>6</v>
      </c>
      <c r="C6" s="133"/>
      <c r="D6" s="91" t="s">
        <v>0</v>
      </c>
    </row>
    <row r="7" spans="1:34">
      <c r="A7" s="96">
        <v>7</v>
      </c>
      <c r="B7" t="s">
        <v>0</v>
      </c>
      <c r="C7" s="96" t="s">
        <v>84</v>
      </c>
      <c r="D7" s="92">
        <v>1</v>
      </c>
      <c r="E7" s="92">
        <v>2</v>
      </c>
      <c r="F7" s="92">
        <v>3</v>
      </c>
      <c r="G7" s="92">
        <v>4</v>
      </c>
      <c r="H7" s="92">
        <v>5</v>
      </c>
      <c r="I7" s="92">
        <v>6</v>
      </c>
      <c r="J7" s="92">
        <v>7</v>
      </c>
      <c r="K7" s="92">
        <v>8</v>
      </c>
      <c r="L7" s="92">
        <v>9</v>
      </c>
      <c r="M7" s="92">
        <v>10</v>
      </c>
      <c r="N7" s="92">
        <v>11</v>
      </c>
      <c r="O7" s="92">
        <v>12</v>
      </c>
      <c r="P7" s="92">
        <v>13</v>
      </c>
      <c r="Q7" s="92">
        <v>14</v>
      </c>
      <c r="R7" s="92">
        <v>15</v>
      </c>
      <c r="S7" s="92">
        <v>16</v>
      </c>
      <c r="T7" s="92">
        <v>17</v>
      </c>
      <c r="U7" s="92">
        <v>18</v>
      </c>
      <c r="V7" s="92">
        <v>19</v>
      </c>
      <c r="W7" s="92">
        <v>20</v>
      </c>
      <c r="X7" s="92">
        <v>21</v>
      </c>
      <c r="Y7" s="92">
        <v>22</v>
      </c>
      <c r="Z7" s="92">
        <v>23</v>
      </c>
      <c r="AA7" s="92">
        <v>24</v>
      </c>
      <c r="AB7" s="92">
        <v>25</v>
      </c>
      <c r="AC7" s="94"/>
      <c r="AD7" s="94"/>
      <c r="AE7" s="94"/>
      <c r="AF7" s="94"/>
      <c r="AH7"/>
    </row>
    <row r="8" spans="1:34">
      <c r="A8" s="96">
        <v>8</v>
      </c>
      <c r="B8" t="s">
        <v>85</v>
      </c>
      <c r="C8" s="112">
        <f>'Investment Memorandum'!C11*-1</f>
        <v>-956200000</v>
      </c>
      <c r="D8" s="133">
        <f>IF(D7-1&lt;$C$4,(1+$C$5)-'Investment Memorandum'!G31,0)</f>
        <v>264748001</v>
      </c>
      <c r="E8" s="133">
        <f>IF(E7-1&lt;$C$4,(1+$C$5),0)-'Investment Memorandum'!$G$31</f>
        <v>264748001</v>
      </c>
      <c r="F8" s="133">
        <f>IF(F7-1&lt;$C$4,(1+$C$5),0)-'Investment Memorandum'!$G$31</f>
        <v>264748001</v>
      </c>
      <c r="G8" s="133">
        <f>IF(G7-1&lt;$C$4,(1+$C$5),0)-'Investment Memorandum'!$G$31</f>
        <v>264748001</v>
      </c>
      <c r="H8" s="133">
        <f>IF(H7-1&lt;$C$4,(1+$C$5),0)-'Investment Memorandum'!$G$31</f>
        <v>264748001</v>
      </c>
      <c r="I8" s="133">
        <f>IF(I7-1&lt;$C$4,(1+$C$5),0)-'Investment Memorandum'!$G$31</f>
        <v>264748001</v>
      </c>
      <c r="J8" s="133">
        <f>IF(J7-1&lt;$C$4,(1+$C$5),0)-'Investment Memorandum'!$G$31</f>
        <v>264748001</v>
      </c>
      <c r="K8" s="133">
        <f>IF(K7-1&lt;$C$4,(1+$C$5),0)-'Investment Memorandum'!$G$31</f>
        <v>264748001</v>
      </c>
      <c r="L8" s="133">
        <f>IF(L7-1&lt;$C$4,(1+$C$5),0)-'Investment Memorandum'!$G$31</f>
        <v>264748001</v>
      </c>
      <c r="M8" s="133">
        <f>IF(M7-1&lt;$C$4,(1+$C$5),0)-'Investment Memorandum'!$G$31</f>
        <v>264748001</v>
      </c>
      <c r="N8" s="133">
        <f>IF(N7-1&lt;$C$4,(1+$C$5),0)-'Investment Memorandum'!$G$31</f>
        <v>264748001</v>
      </c>
      <c r="O8" s="133">
        <f>IF(O7-1&lt;$C$4,(1+$C$5),0)-'Investment Memorandum'!$G$31</f>
        <v>264748001</v>
      </c>
      <c r="P8" s="133">
        <f>IF(P7-1&lt;$C$4,(1+$C$5),0)-'Investment Memorandum'!$G$31</f>
        <v>264748001</v>
      </c>
      <c r="Q8" s="133">
        <f>IF(Q7-1&lt;$C$4,(1+$C$5),0)-'Investment Memorandum'!$G$31</f>
        <v>264748001</v>
      </c>
      <c r="R8" s="133">
        <f>IF(R7-1&lt;$C$4,(1+$C$5),0)-'Investment Memorandum'!$G$31</f>
        <v>264748001</v>
      </c>
      <c r="S8" s="133">
        <f>IF(S7-1&lt;$C$4,(1+$C$5),0)-'Investment Memorandum'!$G$31</f>
        <v>264748001</v>
      </c>
      <c r="T8" s="133">
        <f>IF(T7-1&lt;$C$4,(1+$C$5),0)-'Investment Memorandum'!$G$31</f>
        <v>264748001</v>
      </c>
      <c r="U8" s="133">
        <f>IF(U7-1&lt;$C$4,(1+$C$5),0)-'Investment Memorandum'!$G$31</f>
        <v>264748001</v>
      </c>
      <c r="V8" s="133">
        <f>IF(V7-1&lt;$C$4,(1+$C$5),0)-'Investment Memorandum'!$G$31</f>
        <v>264748001</v>
      </c>
      <c r="W8" s="133">
        <f>IF(W7-1&lt;$C$4,(1+$C$5),0)-'Investment Memorandum'!$G$31</f>
        <v>264748001</v>
      </c>
      <c r="X8" s="133">
        <f>IF(X7-1&lt;$C$4,(1+$C$5),0)-'Investment Memorandum'!$G$31</f>
        <v>264748001</v>
      </c>
      <c r="Y8" s="133">
        <f>IF(Y7-1&lt;$C$4,(1+$C$5),0)-'Investment Memorandum'!$G$31</f>
        <v>264748001</v>
      </c>
      <c r="Z8" s="133">
        <f>IF(Z7-1&lt;$C$4,(1+$C$5),0)-'Investment Memorandum'!$G$31</f>
        <v>264748001</v>
      </c>
      <c r="AA8" s="133">
        <f>IF(AA7-1&lt;$C$4,(1+$C$5),0)-'Investment Memorandum'!$G$31</f>
        <v>264748001</v>
      </c>
      <c r="AB8" s="133">
        <f>IF(AB7-1&lt;$C$4,(1+$C$5),0)-'Investment Memorandum'!$G$31</f>
        <v>264748001</v>
      </c>
      <c r="AC8" s="95"/>
      <c r="AD8" s="95"/>
      <c r="AE8" s="95"/>
      <c r="AF8" s="95"/>
      <c r="AG8" s="95"/>
    </row>
    <row r="9" spans="1:34">
      <c r="A9" s="96">
        <v>9</v>
      </c>
    </row>
    <row r="10" spans="1:34">
      <c r="A10" s="96">
        <v>10</v>
      </c>
      <c r="D10" s="133" t="s">
        <v>0</v>
      </c>
    </row>
    <row r="11" spans="1:34" ht="15.75">
      <c r="A11" s="96">
        <v>11</v>
      </c>
      <c r="B11" s="111"/>
    </row>
    <row r="12" spans="1:34">
      <c r="A12" s="96">
        <v>12</v>
      </c>
      <c r="B12" s="97"/>
    </row>
    <row r="13" spans="1:34" ht="12.75" customHeight="1">
      <c r="A13" s="96">
        <v>13</v>
      </c>
      <c r="B13" s="97"/>
    </row>
    <row r="14" spans="1:34" ht="12.75" customHeight="1">
      <c r="A14" s="96">
        <v>14</v>
      </c>
      <c r="B14" s="98"/>
    </row>
    <row r="15" spans="1:34" ht="12.75" customHeight="1">
      <c r="A15" s="96">
        <v>15</v>
      </c>
      <c r="B15" s="113"/>
      <c r="C15" s="113"/>
      <c r="D15" s="113"/>
      <c r="E15" s="113"/>
      <c r="F15" s="113"/>
      <c r="G15" s="113"/>
      <c r="H15" s="113"/>
      <c r="I15" s="113"/>
      <c r="J15" s="113"/>
      <c r="K15" s="113"/>
      <c r="L15" s="113"/>
      <c r="M15" s="113"/>
    </row>
    <row r="16" spans="1:34" ht="12.75" customHeight="1">
      <c r="A16" s="96">
        <v>16</v>
      </c>
      <c r="B16" s="97"/>
      <c r="D16" s="97"/>
    </row>
    <row r="17" spans="1:13" ht="12.75" customHeight="1">
      <c r="A17" s="96">
        <v>17</v>
      </c>
      <c r="B17" s="98"/>
      <c r="D17" s="102"/>
      <c r="E17" s="102"/>
      <c r="F17" s="103"/>
    </row>
    <row r="18" spans="1:13" ht="12.75" customHeight="1">
      <c r="A18" s="96">
        <v>18</v>
      </c>
      <c r="B18" s="97"/>
      <c r="D18" s="104"/>
      <c r="E18" s="105"/>
      <c r="F18" s="103"/>
    </row>
    <row r="19" spans="1:13" ht="12.75" customHeight="1">
      <c r="A19" s="96">
        <v>19</v>
      </c>
      <c r="B19" s="97"/>
      <c r="D19" s="104"/>
      <c r="E19" s="105"/>
      <c r="F19" s="103"/>
    </row>
    <row r="20" spans="1:13" ht="12.75" customHeight="1">
      <c r="A20" s="96">
        <v>20</v>
      </c>
      <c r="B20" s="99"/>
      <c r="D20" s="104"/>
      <c r="E20" s="105"/>
      <c r="F20" s="103"/>
    </row>
    <row r="21" spans="1:13" ht="12.75" customHeight="1">
      <c r="A21" s="96">
        <v>21</v>
      </c>
      <c r="B21" s="100"/>
      <c r="D21" s="104"/>
      <c r="E21" s="105"/>
      <c r="F21" s="103"/>
    </row>
    <row r="22" spans="1:13" ht="12.75" customHeight="1">
      <c r="A22" s="96">
        <v>22</v>
      </c>
      <c r="B22" s="101"/>
      <c r="D22" s="104"/>
      <c r="E22" s="105"/>
      <c r="F22" s="103"/>
    </row>
    <row r="23" spans="1:13" ht="12.75" customHeight="1">
      <c r="A23" s="96">
        <v>23</v>
      </c>
      <c r="B23" s="101"/>
      <c r="D23" s="104"/>
      <c r="E23" s="105"/>
      <c r="F23" s="103"/>
    </row>
    <row r="24" spans="1:13" ht="12.75" customHeight="1">
      <c r="A24" s="96">
        <v>24</v>
      </c>
      <c r="B24" s="101"/>
      <c r="D24" s="102"/>
      <c r="E24" s="102"/>
      <c r="F24" s="106"/>
    </row>
    <row r="25" spans="1:13" ht="12.75" customHeight="1">
      <c r="A25" s="96">
        <v>25</v>
      </c>
      <c r="B25" s="99"/>
      <c r="D25" s="107"/>
      <c r="E25" s="105"/>
      <c r="F25" s="108"/>
    </row>
    <row r="26" spans="1:13" ht="12.75" customHeight="1">
      <c r="A26" s="96">
        <v>26</v>
      </c>
      <c r="B26" s="100"/>
      <c r="D26" s="107"/>
      <c r="E26" s="105"/>
      <c r="F26" s="108"/>
    </row>
    <row r="27" spans="1:13" ht="12.75" customHeight="1">
      <c r="A27" s="96">
        <v>27</v>
      </c>
      <c r="B27" s="113"/>
      <c r="C27" s="114"/>
      <c r="D27" s="107"/>
      <c r="E27" s="105"/>
      <c r="F27" s="108"/>
      <c r="G27" s="114"/>
      <c r="H27" s="114"/>
      <c r="I27" s="114"/>
      <c r="J27" s="114"/>
      <c r="K27" s="114"/>
      <c r="L27" s="114"/>
      <c r="M27" s="114"/>
    </row>
    <row r="28" spans="1:13" ht="12.75" customHeight="1">
      <c r="A28" s="96">
        <v>28</v>
      </c>
      <c r="B28" s="101"/>
    </row>
    <row r="29" spans="1:13" ht="12.75" customHeight="1">
      <c r="A29" s="96">
        <v>29</v>
      </c>
      <c r="B29" s="101"/>
      <c r="D29" s="115"/>
    </row>
    <row r="30" spans="1:13" ht="12.75" customHeight="1">
      <c r="A30" s="96">
        <v>30</v>
      </c>
      <c r="B30" s="101"/>
    </row>
    <row r="31" spans="1:13" ht="12.75" customHeight="1">
      <c r="A31" s="96">
        <v>31</v>
      </c>
      <c r="B31" s="98"/>
    </row>
    <row r="32" spans="1:13" ht="12.75" customHeight="1">
      <c r="A32" s="96">
        <v>32</v>
      </c>
      <c r="B32" s="105"/>
      <c r="C32" s="105"/>
      <c r="D32" s="105"/>
      <c r="E32" s="105"/>
      <c r="F32" s="105"/>
      <c r="G32" s="105"/>
      <c r="H32" s="105"/>
      <c r="I32" s="105"/>
      <c r="J32" s="105"/>
      <c r="K32" s="105"/>
      <c r="L32" s="105"/>
      <c r="M32" s="105"/>
    </row>
    <row r="33" spans="1:35" ht="12.75" customHeight="1">
      <c r="A33" s="96">
        <v>33</v>
      </c>
      <c r="B33" s="97"/>
    </row>
    <row r="34" spans="1:35" ht="12.75" customHeight="1">
      <c r="A34" s="96">
        <v>34</v>
      </c>
      <c r="B34" s="97"/>
    </row>
    <row r="35" spans="1:35" ht="12.75" customHeight="1">
      <c r="A35" s="96">
        <v>35</v>
      </c>
      <c r="B35" s="98"/>
    </row>
    <row r="36" spans="1:35" ht="12.75" customHeight="1">
      <c r="A36" s="96">
        <v>36</v>
      </c>
      <c r="B36" s="113"/>
      <c r="C36" s="113"/>
      <c r="D36" s="113"/>
      <c r="E36" s="113"/>
      <c r="F36" s="113"/>
      <c r="G36" s="113"/>
      <c r="H36" s="113"/>
      <c r="I36" s="113"/>
      <c r="J36" s="113"/>
      <c r="K36" s="113"/>
      <c r="L36" s="113"/>
      <c r="M36" s="113"/>
    </row>
    <row r="37" spans="1:35" ht="12.75" customHeight="1">
      <c r="A37" s="96">
        <v>37</v>
      </c>
      <c r="B37" s="97"/>
    </row>
    <row r="38" spans="1:35" ht="12.75" customHeight="1">
      <c r="A38" s="96">
        <v>38</v>
      </c>
      <c r="B38" s="102"/>
      <c r="C38" s="102"/>
      <c r="D38" s="102"/>
      <c r="E38" s="103"/>
      <c r="AC38"/>
      <c r="AI38" s="93"/>
    </row>
    <row r="39" spans="1:35" ht="12.75" customHeight="1">
      <c r="A39" s="96">
        <v>39</v>
      </c>
      <c r="B39" s="104"/>
      <c r="C39" s="97"/>
      <c r="D39" s="97"/>
      <c r="E39" s="103"/>
      <c r="AC39"/>
      <c r="AI39" s="93"/>
    </row>
    <row r="40" spans="1:35" ht="12.75" customHeight="1">
      <c r="A40" s="96">
        <v>40</v>
      </c>
      <c r="B40" s="104"/>
      <c r="C40" s="97"/>
      <c r="D40" s="97"/>
      <c r="E40" s="103"/>
      <c r="AC40"/>
      <c r="AI40" s="93"/>
    </row>
    <row r="41" spans="1:35" ht="12.75" customHeight="1">
      <c r="A41" s="96">
        <v>41</v>
      </c>
      <c r="B41" s="104"/>
      <c r="C41" s="97"/>
      <c r="D41" s="97"/>
      <c r="E41" s="109"/>
      <c r="AC41"/>
      <c r="AI41" s="93"/>
    </row>
    <row r="42" spans="1:35" ht="12.75" customHeight="1">
      <c r="A42" s="96">
        <v>42</v>
      </c>
      <c r="B42" s="104"/>
      <c r="C42" s="97"/>
      <c r="D42" s="97"/>
      <c r="E42" s="103"/>
      <c r="AC42"/>
      <c r="AI42" s="93"/>
    </row>
    <row r="43" spans="1:35" ht="12.75" customHeight="1">
      <c r="A43" s="96">
        <v>43</v>
      </c>
      <c r="B43" s="104"/>
      <c r="C43" s="97"/>
      <c r="D43" s="97"/>
      <c r="E43" s="103"/>
      <c r="AC43"/>
      <c r="AI43" s="93"/>
    </row>
    <row r="44" spans="1:35" ht="12.75" customHeight="1">
      <c r="A44" s="96">
        <v>44</v>
      </c>
      <c r="B44" s="104"/>
      <c r="C44" s="97"/>
      <c r="D44" s="97"/>
      <c r="E44" s="103"/>
      <c r="AC44"/>
      <c r="AI44" s="93"/>
    </row>
    <row r="45" spans="1:35" ht="12.75" customHeight="1">
      <c r="A45" s="96">
        <v>45</v>
      </c>
      <c r="B45" s="102"/>
      <c r="C45" s="102"/>
      <c r="D45" s="102"/>
      <c r="E45" s="106"/>
      <c r="AC45"/>
      <c r="AI45" s="93"/>
    </row>
    <row r="46" spans="1:35" ht="12.75" customHeight="1">
      <c r="A46" s="96">
        <v>51</v>
      </c>
      <c r="B46" s="107"/>
      <c r="C46" s="113"/>
      <c r="D46" s="113"/>
      <c r="E46" s="108"/>
      <c r="AC46"/>
      <c r="AI46" s="93"/>
    </row>
    <row r="47" spans="1:35" ht="12.75" customHeight="1">
      <c r="A47" s="96">
        <v>52</v>
      </c>
      <c r="B47" s="107"/>
      <c r="C47" s="97"/>
      <c r="D47" s="97"/>
      <c r="E47" s="108"/>
      <c r="AC47"/>
      <c r="AI47" s="93"/>
    </row>
    <row r="48" spans="1:35" ht="12.75" customHeight="1">
      <c r="A48" s="96">
        <v>53</v>
      </c>
      <c r="B48" s="107"/>
      <c r="C48" s="105"/>
      <c r="D48" s="105"/>
      <c r="E48" s="108"/>
      <c r="AC48"/>
      <c r="AI48" s="93"/>
    </row>
    <row r="49" spans="1:2" ht="12.75" customHeight="1">
      <c r="A49" s="96">
        <v>54</v>
      </c>
      <c r="B49" s="109"/>
    </row>
    <row r="50" spans="1:2" ht="12.75" customHeight="1">
      <c r="A50" s="96">
        <v>55</v>
      </c>
    </row>
    <row r="51" spans="1:2" ht="12.75" customHeight="1">
      <c r="A51" s="96">
        <v>56</v>
      </c>
    </row>
    <row r="52" spans="1:2" ht="12.75" customHeight="1">
      <c r="A52" s="96">
        <v>57</v>
      </c>
    </row>
    <row r="53" spans="1:2" ht="12.75" customHeight="1">
      <c r="A53" s="96">
        <v>58</v>
      </c>
    </row>
    <row r="54" spans="1:2">
      <c r="A54" s="96">
        <v>59</v>
      </c>
    </row>
    <row r="55" spans="1:2">
      <c r="A55" s="96">
        <v>60</v>
      </c>
    </row>
    <row r="56" spans="1:2">
      <c r="A56" s="96">
        <v>61</v>
      </c>
    </row>
    <row r="57" spans="1:2">
      <c r="A57" s="96">
        <v>62</v>
      </c>
    </row>
    <row r="58" spans="1:2">
      <c r="A58" s="96">
        <v>63</v>
      </c>
    </row>
    <row r="59" spans="1:2">
      <c r="A59" s="96">
        <v>64</v>
      </c>
    </row>
    <row r="60" spans="1:2">
      <c r="A60" s="96">
        <v>65</v>
      </c>
    </row>
    <row r="61" spans="1:2">
      <c r="A61" s="96">
        <v>66</v>
      </c>
    </row>
    <row r="62" spans="1:2">
      <c r="A62" s="96">
        <v>67</v>
      </c>
    </row>
    <row r="63" spans="1:2">
      <c r="A63" s="96">
        <v>68</v>
      </c>
    </row>
    <row r="64" spans="1:2">
      <c r="A64" s="96">
        <v>69</v>
      </c>
    </row>
    <row r="65" spans="1:1">
      <c r="A65" s="96">
        <v>70</v>
      </c>
    </row>
    <row r="66" spans="1:1">
      <c r="A66" s="96">
        <v>71</v>
      </c>
    </row>
    <row r="67" spans="1:1">
      <c r="A67" s="96">
        <v>72</v>
      </c>
    </row>
  </sheetData>
  <printOptions horizontalCentered="1"/>
  <pageMargins left="0.7" right="0.45" top="0.75" bottom="0.75" header="0.3" footer="0.3"/>
  <pageSetup scale="50" orientation="landscape" r:id="rId1"/>
  <colBreaks count="1" manualBreakCount="1">
    <brk id="1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E46"/>
  <sheetViews>
    <sheetView zoomScaleNormal="100" workbookViewId="0">
      <selection activeCell="H24" sqref="H24"/>
    </sheetView>
  </sheetViews>
  <sheetFormatPr defaultRowHeight="12.75"/>
  <cols>
    <col min="1" max="5" width="13.7109375" style="46" customWidth="1"/>
    <col min="6" max="251" width="9.140625" style="46"/>
    <col min="252" max="256" width="13.7109375" style="46" customWidth="1"/>
    <col min="257" max="507" width="9.140625" style="46"/>
    <col min="508" max="512" width="13.7109375" style="46" customWidth="1"/>
    <col min="513" max="763" width="9.140625" style="46"/>
    <col min="764" max="768" width="13.7109375" style="46" customWidth="1"/>
    <col min="769" max="1019" width="9.140625" style="46"/>
    <col min="1020" max="1024" width="13.7109375" style="46" customWidth="1"/>
    <col min="1025" max="1275" width="9.140625" style="46"/>
    <col min="1276" max="1280" width="13.7109375" style="46" customWidth="1"/>
    <col min="1281" max="1531" width="9.140625" style="46"/>
    <col min="1532" max="1536" width="13.7109375" style="46" customWidth="1"/>
    <col min="1537" max="1787" width="9.140625" style="46"/>
    <col min="1788" max="1792" width="13.7109375" style="46" customWidth="1"/>
    <col min="1793" max="2043" width="9.140625" style="46"/>
    <col min="2044" max="2048" width="13.7109375" style="46" customWidth="1"/>
    <col min="2049" max="2299" width="9.140625" style="46"/>
    <col min="2300" max="2304" width="13.7109375" style="46" customWidth="1"/>
    <col min="2305" max="2555" width="9.140625" style="46"/>
    <col min="2556" max="2560" width="13.7109375" style="46" customWidth="1"/>
    <col min="2561" max="2811" width="9.140625" style="46"/>
    <col min="2812" max="2816" width="13.7109375" style="46" customWidth="1"/>
    <col min="2817" max="3067" width="9.140625" style="46"/>
    <col min="3068" max="3072" width="13.7109375" style="46" customWidth="1"/>
    <col min="3073" max="3323" width="9.140625" style="46"/>
    <col min="3324" max="3328" width="13.7109375" style="46" customWidth="1"/>
    <col min="3329" max="3579" width="9.140625" style="46"/>
    <col min="3580" max="3584" width="13.7109375" style="46" customWidth="1"/>
    <col min="3585" max="3835" width="9.140625" style="46"/>
    <col min="3836" max="3840" width="13.7109375" style="46" customWidth="1"/>
    <col min="3841" max="4091" width="9.140625" style="46"/>
    <col min="4092" max="4096" width="13.7109375" style="46" customWidth="1"/>
    <col min="4097" max="4347" width="9.140625" style="46"/>
    <col min="4348" max="4352" width="13.7109375" style="46" customWidth="1"/>
    <col min="4353" max="4603" width="9.140625" style="46"/>
    <col min="4604" max="4608" width="13.7109375" style="46" customWidth="1"/>
    <col min="4609" max="4859" width="9.140625" style="46"/>
    <col min="4860" max="4864" width="13.7109375" style="46" customWidth="1"/>
    <col min="4865" max="5115" width="9.140625" style="46"/>
    <col min="5116" max="5120" width="13.7109375" style="46" customWidth="1"/>
    <col min="5121" max="5371" width="9.140625" style="46"/>
    <col min="5372" max="5376" width="13.7109375" style="46" customWidth="1"/>
    <col min="5377" max="5627" width="9.140625" style="46"/>
    <col min="5628" max="5632" width="13.7109375" style="46" customWidth="1"/>
    <col min="5633" max="5883" width="9.140625" style="46"/>
    <col min="5884" max="5888" width="13.7109375" style="46" customWidth="1"/>
    <col min="5889" max="6139" width="9.140625" style="46"/>
    <col min="6140" max="6144" width="13.7109375" style="46" customWidth="1"/>
    <col min="6145" max="6395" width="9.140625" style="46"/>
    <col min="6396" max="6400" width="13.7109375" style="46" customWidth="1"/>
    <col min="6401" max="6651" width="9.140625" style="46"/>
    <col min="6652" max="6656" width="13.7109375" style="46" customWidth="1"/>
    <col min="6657" max="6907" width="9.140625" style="46"/>
    <col min="6908" max="6912" width="13.7109375" style="46" customWidth="1"/>
    <col min="6913" max="7163" width="9.140625" style="46"/>
    <col min="7164" max="7168" width="13.7109375" style="46" customWidth="1"/>
    <col min="7169" max="7419" width="9.140625" style="46"/>
    <col min="7420" max="7424" width="13.7109375" style="46" customWidth="1"/>
    <col min="7425" max="7675" width="9.140625" style="46"/>
    <col min="7676" max="7680" width="13.7109375" style="46" customWidth="1"/>
    <col min="7681" max="7931" width="9.140625" style="46"/>
    <col min="7932" max="7936" width="13.7109375" style="46" customWidth="1"/>
    <col min="7937" max="8187" width="9.140625" style="46"/>
    <col min="8188" max="8192" width="13.7109375" style="46" customWidth="1"/>
    <col min="8193" max="8443" width="9.140625" style="46"/>
    <col min="8444" max="8448" width="13.7109375" style="46" customWidth="1"/>
    <col min="8449" max="8699" width="9.140625" style="46"/>
    <col min="8700" max="8704" width="13.7109375" style="46" customWidth="1"/>
    <col min="8705" max="8955" width="9.140625" style="46"/>
    <col min="8956" max="8960" width="13.7109375" style="46" customWidth="1"/>
    <col min="8961" max="9211" width="9.140625" style="46"/>
    <col min="9212" max="9216" width="13.7109375" style="46" customWidth="1"/>
    <col min="9217" max="9467" width="9.140625" style="46"/>
    <col min="9468" max="9472" width="13.7109375" style="46" customWidth="1"/>
    <col min="9473" max="9723" width="9.140625" style="46"/>
    <col min="9724" max="9728" width="13.7109375" style="46" customWidth="1"/>
    <col min="9729" max="9979" width="9.140625" style="46"/>
    <col min="9980" max="9984" width="13.7109375" style="46" customWidth="1"/>
    <col min="9985" max="10235" width="9.140625" style="46"/>
    <col min="10236" max="10240" width="13.7109375" style="46" customWidth="1"/>
    <col min="10241" max="10491" width="9.140625" style="46"/>
    <col min="10492" max="10496" width="13.7109375" style="46" customWidth="1"/>
    <col min="10497" max="10747" width="9.140625" style="46"/>
    <col min="10748" max="10752" width="13.7109375" style="46" customWidth="1"/>
    <col min="10753" max="11003" width="9.140625" style="46"/>
    <col min="11004" max="11008" width="13.7109375" style="46" customWidth="1"/>
    <col min="11009" max="11259" width="9.140625" style="46"/>
    <col min="11260" max="11264" width="13.7109375" style="46" customWidth="1"/>
    <col min="11265" max="11515" width="9.140625" style="46"/>
    <col min="11516" max="11520" width="13.7109375" style="46" customWidth="1"/>
    <col min="11521" max="11771" width="9.140625" style="46"/>
    <col min="11772" max="11776" width="13.7109375" style="46" customWidth="1"/>
    <col min="11777" max="12027" width="9.140625" style="46"/>
    <col min="12028" max="12032" width="13.7109375" style="46" customWidth="1"/>
    <col min="12033" max="12283" width="9.140625" style="46"/>
    <col min="12284" max="12288" width="13.7109375" style="46" customWidth="1"/>
    <col min="12289" max="12539" width="9.140625" style="46"/>
    <col min="12540" max="12544" width="13.7109375" style="46" customWidth="1"/>
    <col min="12545" max="12795" width="9.140625" style="46"/>
    <col min="12796" max="12800" width="13.7109375" style="46" customWidth="1"/>
    <col min="12801" max="13051" width="9.140625" style="46"/>
    <col min="13052" max="13056" width="13.7109375" style="46" customWidth="1"/>
    <col min="13057" max="13307" width="9.140625" style="46"/>
    <col min="13308" max="13312" width="13.7109375" style="46" customWidth="1"/>
    <col min="13313" max="13563" width="9.140625" style="46"/>
    <col min="13564" max="13568" width="13.7109375" style="46" customWidth="1"/>
    <col min="13569" max="13819" width="9.140625" style="46"/>
    <col min="13820" max="13824" width="13.7109375" style="46" customWidth="1"/>
    <col min="13825" max="14075" width="9.140625" style="46"/>
    <col min="14076" max="14080" width="13.7109375" style="46" customWidth="1"/>
    <col min="14081" max="14331" width="9.140625" style="46"/>
    <col min="14332" max="14336" width="13.7109375" style="46" customWidth="1"/>
    <col min="14337" max="14587" width="9.140625" style="46"/>
    <col min="14588" max="14592" width="13.7109375" style="46" customWidth="1"/>
    <col min="14593" max="14843" width="9.140625" style="46"/>
    <col min="14844" max="14848" width="13.7109375" style="46" customWidth="1"/>
    <col min="14849" max="15099" width="9.140625" style="46"/>
    <col min="15100" max="15104" width="13.7109375" style="46" customWidth="1"/>
    <col min="15105" max="15355" width="9.140625" style="46"/>
    <col min="15356" max="15360" width="13.7109375" style="46" customWidth="1"/>
    <col min="15361" max="15611" width="9.140625" style="46"/>
    <col min="15612" max="15616" width="13.7109375" style="46" customWidth="1"/>
    <col min="15617" max="15867" width="9.140625" style="46"/>
    <col min="15868" max="15872" width="13.7109375" style="46" customWidth="1"/>
    <col min="15873" max="16123" width="9.140625" style="46"/>
    <col min="16124" max="16128" width="13.7109375" style="46" customWidth="1"/>
    <col min="16129" max="16384" width="9.140625" style="46"/>
  </cols>
  <sheetData>
    <row r="1" spans="1:5">
      <c r="A1" s="45" t="s">
        <v>91</v>
      </c>
    </row>
    <row r="2" spans="1:5">
      <c r="A2" s="45"/>
    </row>
    <row r="3" spans="1:5" ht="13.5" thickBot="1"/>
    <row r="4" spans="1:5">
      <c r="A4" s="54" t="s">
        <v>45</v>
      </c>
      <c r="B4" s="55" t="s">
        <v>46</v>
      </c>
      <c r="C4" s="55" t="s">
        <v>47</v>
      </c>
      <c r="D4" s="55" t="s">
        <v>48</v>
      </c>
      <c r="E4" s="56" t="s">
        <v>47</v>
      </c>
    </row>
    <row r="5" spans="1:5" ht="13.5" thickBot="1">
      <c r="A5" s="57"/>
      <c r="B5" s="58"/>
      <c r="C5" s="58" t="s">
        <v>46</v>
      </c>
      <c r="D5" s="58"/>
      <c r="E5" s="59" t="s">
        <v>48</v>
      </c>
    </row>
    <row r="6" spans="1:5">
      <c r="A6" s="64">
        <v>1</v>
      </c>
      <c r="B6" s="65">
        <f>$C$40</f>
        <v>154795814.80592448</v>
      </c>
      <c r="C6" s="66">
        <f>B6</f>
        <v>154795814.80592448</v>
      </c>
      <c r="D6" s="119">
        <f>'Investment Memorandum'!$C$16</f>
        <v>297840000</v>
      </c>
      <c r="E6" s="67">
        <f>D6</f>
        <v>297840000</v>
      </c>
    </row>
    <row r="7" spans="1:5">
      <c r="A7" s="68">
        <f>SUM(A6+1)</f>
        <v>2</v>
      </c>
      <c r="B7" s="60">
        <f t="shared" ref="B7:B15" si="0">$C$40</f>
        <v>154795814.80592448</v>
      </c>
      <c r="C7" s="61">
        <f>B7+C6</f>
        <v>309591629.61184895</v>
      </c>
      <c r="D7" s="72">
        <f>'Investment Memorandum'!$C$16</f>
        <v>297840000</v>
      </c>
      <c r="E7" s="69">
        <f>D7+E6</f>
        <v>595680000</v>
      </c>
    </row>
    <row r="8" spans="1:5">
      <c r="A8" s="68">
        <f t="shared" ref="A8:A30" si="1">SUM(A7+1)</f>
        <v>3</v>
      </c>
      <c r="B8" s="60">
        <f t="shared" si="0"/>
        <v>154795814.80592448</v>
      </c>
      <c r="C8" s="61">
        <f t="shared" ref="C8:C30" si="2">B8+C7</f>
        <v>464387444.41777343</v>
      </c>
      <c r="D8" s="72">
        <f>'Investment Memorandum'!$C$16</f>
        <v>297840000</v>
      </c>
      <c r="E8" s="69">
        <f t="shared" ref="E8:E30" si="3">D8+E7</f>
        <v>893520000</v>
      </c>
    </row>
    <row r="9" spans="1:5">
      <c r="A9" s="68">
        <f t="shared" si="1"/>
        <v>4</v>
      </c>
      <c r="B9" s="60">
        <f t="shared" si="0"/>
        <v>154795814.80592448</v>
      </c>
      <c r="C9" s="61">
        <f t="shared" si="2"/>
        <v>619183259.2236979</v>
      </c>
      <c r="D9" s="72">
        <f>'Investment Memorandum'!$C$16</f>
        <v>297840000</v>
      </c>
      <c r="E9" s="69">
        <f t="shared" si="3"/>
        <v>1191360000</v>
      </c>
    </row>
    <row r="10" spans="1:5">
      <c r="A10" s="68">
        <f t="shared" si="1"/>
        <v>5</v>
      </c>
      <c r="B10" s="60">
        <f t="shared" si="0"/>
        <v>154795814.80592448</v>
      </c>
      <c r="C10" s="61">
        <f t="shared" si="2"/>
        <v>773979074.02962232</v>
      </c>
      <c r="D10" s="72">
        <f>'Investment Memorandum'!$C$16</f>
        <v>297840000</v>
      </c>
      <c r="E10" s="69">
        <f t="shared" si="3"/>
        <v>1489200000</v>
      </c>
    </row>
    <row r="11" spans="1:5">
      <c r="A11" s="68">
        <f t="shared" si="1"/>
        <v>6</v>
      </c>
      <c r="B11" s="60">
        <f t="shared" si="0"/>
        <v>154795814.80592448</v>
      </c>
      <c r="C11" s="61">
        <f t="shared" si="2"/>
        <v>928774888.83554673</v>
      </c>
      <c r="D11" s="72">
        <f>'Investment Memorandum'!$C$16</f>
        <v>297840000</v>
      </c>
      <c r="E11" s="69">
        <f t="shared" si="3"/>
        <v>1787040000</v>
      </c>
    </row>
    <row r="12" spans="1:5">
      <c r="A12" s="68">
        <f t="shared" si="1"/>
        <v>7</v>
      </c>
      <c r="B12" s="60">
        <f t="shared" si="0"/>
        <v>154795814.80592448</v>
      </c>
      <c r="C12" s="61">
        <f t="shared" si="2"/>
        <v>1083570703.6414711</v>
      </c>
      <c r="D12" s="72">
        <f>'Investment Memorandum'!$C$16</f>
        <v>297840000</v>
      </c>
      <c r="E12" s="69">
        <f t="shared" si="3"/>
        <v>2084880000</v>
      </c>
    </row>
    <row r="13" spans="1:5">
      <c r="A13" s="68">
        <f t="shared" si="1"/>
        <v>8</v>
      </c>
      <c r="B13" s="60">
        <f t="shared" si="0"/>
        <v>154795814.80592448</v>
      </c>
      <c r="C13" s="61">
        <f t="shared" si="2"/>
        <v>1238366518.4473956</v>
      </c>
      <c r="D13" s="72">
        <f>'Investment Memorandum'!$C$16</f>
        <v>297840000</v>
      </c>
      <c r="E13" s="69">
        <f t="shared" si="3"/>
        <v>2382720000</v>
      </c>
    </row>
    <row r="14" spans="1:5">
      <c r="A14" s="68">
        <f t="shared" si="1"/>
        <v>9</v>
      </c>
      <c r="B14" s="60">
        <f t="shared" si="0"/>
        <v>154795814.80592448</v>
      </c>
      <c r="C14" s="61">
        <f t="shared" si="2"/>
        <v>1393162333.25332</v>
      </c>
      <c r="D14" s="72">
        <f>'Investment Memorandum'!$C$16</f>
        <v>297840000</v>
      </c>
      <c r="E14" s="69">
        <f t="shared" si="3"/>
        <v>2680560000</v>
      </c>
    </row>
    <row r="15" spans="1:5">
      <c r="A15" s="68">
        <f t="shared" si="1"/>
        <v>10</v>
      </c>
      <c r="B15" s="60">
        <f t="shared" si="0"/>
        <v>154795814.80592448</v>
      </c>
      <c r="C15" s="61">
        <f t="shared" si="2"/>
        <v>1547958148.0592444</v>
      </c>
      <c r="D15" s="72">
        <f>'Investment Memorandum'!$C$16</f>
        <v>297840000</v>
      </c>
      <c r="E15" s="69">
        <f t="shared" si="3"/>
        <v>2978400000</v>
      </c>
    </row>
    <row r="16" spans="1:5">
      <c r="A16" s="68">
        <f t="shared" si="1"/>
        <v>11</v>
      </c>
      <c r="B16" s="85">
        <f>$C$39</f>
        <v>33092000</v>
      </c>
      <c r="C16" s="61">
        <f t="shared" si="2"/>
        <v>1581050148.0592444</v>
      </c>
      <c r="D16" s="72">
        <f>'Investment Memorandum'!$C$16</f>
        <v>297840000</v>
      </c>
      <c r="E16" s="69">
        <f t="shared" si="3"/>
        <v>3276240000</v>
      </c>
    </row>
    <row r="17" spans="1:5">
      <c r="A17" s="68">
        <f t="shared" si="1"/>
        <v>12</v>
      </c>
      <c r="B17" s="85">
        <f t="shared" ref="B17:B30" si="4">$C$39</f>
        <v>33092000</v>
      </c>
      <c r="C17" s="61">
        <f t="shared" si="2"/>
        <v>1614142148.0592444</v>
      </c>
      <c r="D17" s="72">
        <f>'Investment Memorandum'!$C$16</f>
        <v>297840000</v>
      </c>
      <c r="E17" s="69">
        <f t="shared" si="3"/>
        <v>3574080000</v>
      </c>
    </row>
    <row r="18" spans="1:5">
      <c r="A18" s="68">
        <f t="shared" si="1"/>
        <v>13</v>
      </c>
      <c r="B18" s="85">
        <f t="shared" si="4"/>
        <v>33092000</v>
      </c>
      <c r="C18" s="61">
        <f t="shared" si="2"/>
        <v>1647234148.0592444</v>
      </c>
      <c r="D18" s="72">
        <f>'Investment Memorandum'!$C$16</f>
        <v>297840000</v>
      </c>
      <c r="E18" s="69">
        <f t="shared" si="3"/>
        <v>3871920000</v>
      </c>
    </row>
    <row r="19" spans="1:5">
      <c r="A19" s="68">
        <f t="shared" si="1"/>
        <v>14</v>
      </c>
      <c r="B19" s="85">
        <f t="shared" si="4"/>
        <v>33092000</v>
      </c>
      <c r="C19" s="61">
        <f t="shared" si="2"/>
        <v>1680326148.0592444</v>
      </c>
      <c r="D19" s="72">
        <f>'Investment Memorandum'!$C$16</f>
        <v>297840000</v>
      </c>
      <c r="E19" s="69">
        <f t="shared" si="3"/>
        <v>4169760000</v>
      </c>
    </row>
    <row r="20" spans="1:5">
      <c r="A20" s="68">
        <f t="shared" si="1"/>
        <v>15</v>
      </c>
      <c r="B20" s="85">
        <f t="shared" si="4"/>
        <v>33092000</v>
      </c>
      <c r="C20" s="61">
        <f t="shared" si="2"/>
        <v>1713418148.0592444</v>
      </c>
      <c r="D20" s="72">
        <f>'Investment Memorandum'!$C$16</f>
        <v>297840000</v>
      </c>
      <c r="E20" s="69">
        <f t="shared" si="3"/>
        <v>4467600000</v>
      </c>
    </row>
    <row r="21" spans="1:5">
      <c r="A21" s="68">
        <f t="shared" si="1"/>
        <v>16</v>
      </c>
      <c r="B21" s="85">
        <f t="shared" si="4"/>
        <v>33092000</v>
      </c>
      <c r="C21" s="61">
        <f t="shared" si="2"/>
        <v>1746510148.0592444</v>
      </c>
      <c r="D21" s="72">
        <f>'Investment Memorandum'!$C$16</f>
        <v>297840000</v>
      </c>
      <c r="E21" s="69">
        <f t="shared" si="3"/>
        <v>4765440000</v>
      </c>
    </row>
    <row r="22" spans="1:5">
      <c r="A22" s="68">
        <f t="shared" si="1"/>
        <v>17</v>
      </c>
      <c r="B22" s="85">
        <f t="shared" si="4"/>
        <v>33092000</v>
      </c>
      <c r="C22" s="61">
        <f t="shared" si="2"/>
        <v>1779602148.0592444</v>
      </c>
      <c r="D22" s="72">
        <f>'Investment Memorandum'!$C$16</f>
        <v>297840000</v>
      </c>
      <c r="E22" s="69">
        <f t="shared" si="3"/>
        <v>5063280000</v>
      </c>
    </row>
    <row r="23" spans="1:5">
      <c r="A23" s="68">
        <f t="shared" si="1"/>
        <v>18</v>
      </c>
      <c r="B23" s="85">
        <f t="shared" si="4"/>
        <v>33092000</v>
      </c>
      <c r="C23" s="61">
        <f t="shared" si="2"/>
        <v>1812694148.0592444</v>
      </c>
      <c r="D23" s="72">
        <f>'Investment Memorandum'!$C$16</f>
        <v>297840000</v>
      </c>
      <c r="E23" s="69">
        <f t="shared" si="3"/>
        <v>5361120000</v>
      </c>
    </row>
    <row r="24" spans="1:5">
      <c r="A24" s="68">
        <f t="shared" si="1"/>
        <v>19</v>
      </c>
      <c r="B24" s="85">
        <f t="shared" si="4"/>
        <v>33092000</v>
      </c>
      <c r="C24" s="61">
        <f t="shared" si="2"/>
        <v>1845786148.0592444</v>
      </c>
      <c r="D24" s="72">
        <f>'Investment Memorandum'!$C$16</f>
        <v>297840000</v>
      </c>
      <c r="E24" s="69">
        <f t="shared" si="3"/>
        <v>5658960000</v>
      </c>
    </row>
    <row r="25" spans="1:5">
      <c r="A25" s="68">
        <f t="shared" si="1"/>
        <v>20</v>
      </c>
      <c r="B25" s="85">
        <f t="shared" si="4"/>
        <v>33092000</v>
      </c>
      <c r="C25" s="61">
        <f t="shared" si="2"/>
        <v>1878878148.0592444</v>
      </c>
      <c r="D25" s="72">
        <f>'Investment Memorandum'!$C$16</f>
        <v>297840000</v>
      </c>
      <c r="E25" s="69">
        <f t="shared" si="3"/>
        <v>5956800000</v>
      </c>
    </row>
    <row r="26" spans="1:5">
      <c r="A26" s="68">
        <f t="shared" si="1"/>
        <v>21</v>
      </c>
      <c r="B26" s="85">
        <f t="shared" si="4"/>
        <v>33092000</v>
      </c>
      <c r="C26" s="61">
        <f t="shared" si="2"/>
        <v>1911970148.0592444</v>
      </c>
      <c r="D26" s="72">
        <f>'Investment Memorandum'!$C$16</f>
        <v>297840000</v>
      </c>
      <c r="E26" s="69">
        <f t="shared" si="3"/>
        <v>6254640000</v>
      </c>
    </row>
    <row r="27" spans="1:5">
      <c r="A27" s="68">
        <f t="shared" si="1"/>
        <v>22</v>
      </c>
      <c r="B27" s="85">
        <f t="shared" si="4"/>
        <v>33092000</v>
      </c>
      <c r="C27" s="61">
        <f t="shared" si="2"/>
        <v>1945062148.0592444</v>
      </c>
      <c r="D27" s="72">
        <f>'Investment Memorandum'!$C$16</f>
        <v>297840000</v>
      </c>
      <c r="E27" s="69">
        <f t="shared" si="3"/>
        <v>6552480000</v>
      </c>
    </row>
    <row r="28" spans="1:5">
      <c r="A28" s="68">
        <f t="shared" si="1"/>
        <v>23</v>
      </c>
      <c r="B28" s="85">
        <f t="shared" si="4"/>
        <v>33092000</v>
      </c>
      <c r="C28" s="61">
        <f t="shared" si="2"/>
        <v>1978154148.0592444</v>
      </c>
      <c r="D28" s="72">
        <f>'Investment Memorandum'!$C$16</f>
        <v>297840000</v>
      </c>
      <c r="E28" s="69">
        <f t="shared" si="3"/>
        <v>6850320000</v>
      </c>
    </row>
    <row r="29" spans="1:5">
      <c r="A29" s="68">
        <f t="shared" si="1"/>
        <v>24</v>
      </c>
      <c r="B29" s="85">
        <f t="shared" si="4"/>
        <v>33092000</v>
      </c>
      <c r="C29" s="61">
        <f t="shared" si="2"/>
        <v>2011246148.0592444</v>
      </c>
      <c r="D29" s="72">
        <f>'Investment Memorandum'!$C$16</f>
        <v>297840000</v>
      </c>
      <c r="E29" s="69">
        <f t="shared" si="3"/>
        <v>7148160000</v>
      </c>
    </row>
    <row r="30" spans="1:5">
      <c r="A30" s="68">
        <f t="shared" si="1"/>
        <v>25</v>
      </c>
      <c r="B30" s="85">
        <f t="shared" si="4"/>
        <v>33092000</v>
      </c>
      <c r="C30" s="61">
        <f t="shared" si="2"/>
        <v>2044338148.0592444</v>
      </c>
      <c r="D30" s="72">
        <f>'Investment Memorandum'!$C$16</f>
        <v>297840000</v>
      </c>
      <c r="E30" s="69">
        <f t="shared" si="3"/>
        <v>7446000000</v>
      </c>
    </row>
    <row r="31" spans="1:5">
      <c r="A31" s="68"/>
      <c r="B31" s="60"/>
      <c r="C31" s="61"/>
      <c r="D31" s="72"/>
      <c r="E31" s="69"/>
    </row>
    <row r="32" spans="1:5" ht="13.5" thickBot="1">
      <c r="A32" s="75" t="s">
        <v>80</v>
      </c>
      <c r="B32" s="71">
        <f>SUM(B6:B31)</f>
        <v>2044338148.0592444</v>
      </c>
      <c r="C32" s="73"/>
      <c r="D32" s="71">
        <f>SUM(D6:D31)</f>
        <v>7446000000</v>
      </c>
      <c r="E32" s="74"/>
    </row>
    <row r="33" spans="1:5" ht="13.5" thickBot="1">
      <c r="B33" s="47"/>
    </row>
    <row r="34" spans="1:5" ht="13.5" thickBot="1">
      <c r="B34" s="62" t="s">
        <v>49</v>
      </c>
      <c r="C34" s="63">
        <f>(D32-B32)/B32</f>
        <v>2.6422545883951374</v>
      </c>
    </row>
    <row r="35" spans="1:5" ht="13.5" thickBot="1"/>
    <row r="36" spans="1:5">
      <c r="A36" s="76" t="s">
        <v>81</v>
      </c>
      <c r="B36" s="77"/>
      <c r="C36" s="77"/>
      <c r="D36" s="77"/>
      <c r="E36" s="78"/>
    </row>
    <row r="37" spans="1:5">
      <c r="A37" s="79" t="s">
        <v>82</v>
      </c>
      <c r="B37" s="47"/>
      <c r="C37" s="47"/>
      <c r="D37" s="47"/>
      <c r="E37" s="80"/>
    </row>
    <row r="38" spans="1:5">
      <c r="A38" s="81"/>
      <c r="B38" s="82" t="s">
        <v>155</v>
      </c>
      <c r="C38" s="83">
        <f>'Investment Memorandum'!C33</f>
        <v>121703814.80592446</v>
      </c>
      <c r="D38" s="47"/>
      <c r="E38" s="80"/>
    </row>
    <row r="39" spans="1:5">
      <c r="A39" s="81"/>
      <c r="B39" s="82" t="s">
        <v>50</v>
      </c>
      <c r="C39" s="48">
        <f>'Investment Memorandum'!C27</f>
        <v>33092000</v>
      </c>
      <c r="D39" s="47"/>
      <c r="E39" s="80"/>
    </row>
    <row r="40" spans="1:5" ht="13.5" thickBot="1">
      <c r="A40" s="70"/>
      <c r="B40" s="116" t="s">
        <v>88</v>
      </c>
      <c r="C40" s="84">
        <f>SUM(C38:C39)</f>
        <v>154795814.80592448</v>
      </c>
      <c r="D40" s="73"/>
      <c r="E40" s="74"/>
    </row>
    <row r="44" spans="1:5">
      <c r="D44" s="46" t="s">
        <v>0</v>
      </c>
      <c r="E44" s="120" t="s">
        <v>0</v>
      </c>
    </row>
    <row r="46" spans="1:5">
      <c r="D46" s="120" t="s">
        <v>0</v>
      </c>
    </row>
  </sheetData>
  <printOptions horizontalCentered="1"/>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K25"/>
  <sheetViews>
    <sheetView workbookViewId="0">
      <selection activeCell="G26" sqref="G26"/>
    </sheetView>
  </sheetViews>
  <sheetFormatPr defaultRowHeight="12.75"/>
  <cols>
    <col min="1" max="1" width="5.140625" style="125" customWidth="1"/>
    <col min="2" max="2" width="30" style="124" customWidth="1"/>
    <col min="3" max="16384" width="9.140625" style="124"/>
  </cols>
  <sheetData>
    <row r="1" spans="1:11">
      <c r="A1" s="121" t="s">
        <v>51</v>
      </c>
      <c r="B1" s="122" t="s">
        <v>52</v>
      </c>
      <c r="C1" s="122" t="s">
        <v>53</v>
      </c>
      <c r="D1" s="123" t="s">
        <v>54</v>
      </c>
      <c r="E1" s="122" t="s">
        <v>55</v>
      </c>
      <c r="F1" s="122" t="s">
        <v>56</v>
      </c>
      <c r="G1" s="122" t="s">
        <v>57</v>
      </c>
      <c r="H1" s="122" t="s">
        <v>59</v>
      </c>
      <c r="I1" s="122" t="s">
        <v>58</v>
      </c>
      <c r="J1" s="122" t="s">
        <v>60</v>
      </c>
      <c r="K1" s="122" t="s">
        <v>61</v>
      </c>
    </row>
    <row r="2" spans="1:11" ht="15.75">
      <c r="A2" s="125">
        <v>2</v>
      </c>
      <c r="B2" s="126" t="s">
        <v>100</v>
      </c>
    </row>
    <row r="3" spans="1:11">
      <c r="A3" s="125">
        <v>3</v>
      </c>
    </row>
    <row r="4" spans="1:11">
      <c r="A4" s="125">
        <v>4</v>
      </c>
      <c r="B4" s="127" t="s">
        <v>93</v>
      </c>
      <c r="C4" s="128"/>
    </row>
    <row r="5" spans="1:11">
      <c r="A5" s="125">
        <v>5</v>
      </c>
      <c r="B5" s="129" t="s">
        <v>94</v>
      </c>
      <c r="C5" s="130">
        <v>1.131</v>
      </c>
    </row>
    <row r="6" spans="1:11">
      <c r="A6" s="125">
        <v>6</v>
      </c>
      <c r="B6" s="124" t="s">
        <v>108</v>
      </c>
      <c r="C6" s="124">
        <v>100</v>
      </c>
    </row>
    <row r="7" spans="1:11">
      <c r="B7" s="132" t="s">
        <v>94</v>
      </c>
      <c r="C7" s="133">
        <f>C6*C5</f>
        <v>113.1</v>
      </c>
    </row>
    <row r="8" spans="1:11">
      <c r="A8" s="125">
        <v>7</v>
      </c>
    </row>
    <row r="9" spans="1:11">
      <c r="A9" s="125">
        <v>8</v>
      </c>
      <c r="B9" s="382" t="s">
        <v>90</v>
      </c>
      <c r="C9" s="382"/>
      <c r="D9" s="382"/>
      <c r="E9" s="382"/>
      <c r="F9" s="382"/>
      <c r="G9" s="382"/>
      <c r="H9" s="382"/>
    </row>
    <row r="10" spans="1:11">
      <c r="A10" s="125">
        <v>9</v>
      </c>
      <c r="B10" s="131"/>
      <c r="C10" s="131"/>
      <c r="D10" s="131"/>
      <c r="E10" s="131"/>
      <c r="F10" s="131"/>
      <c r="G10" s="131"/>
      <c r="H10" s="131"/>
    </row>
    <row r="11" spans="1:11">
      <c r="A11" s="125">
        <v>10</v>
      </c>
      <c r="B11" s="117" t="s">
        <v>89</v>
      </c>
      <c r="C11" s="117"/>
      <c r="D11" s="117"/>
      <c r="E11" s="117"/>
      <c r="F11" s="117"/>
      <c r="G11" s="117"/>
      <c r="H11" s="118"/>
    </row>
    <row r="12" spans="1:11" ht="30" customHeight="1">
      <c r="A12" s="125">
        <v>11</v>
      </c>
      <c r="B12" s="383" t="s">
        <v>106</v>
      </c>
      <c r="C12" s="383"/>
      <c r="D12" s="383"/>
      <c r="E12" s="383"/>
      <c r="F12" s="383"/>
      <c r="G12" s="383"/>
      <c r="H12" s="383"/>
    </row>
    <row r="13" spans="1:11">
      <c r="A13" s="125">
        <v>13</v>
      </c>
      <c r="B13" s="382" t="s">
        <v>101</v>
      </c>
      <c r="C13" s="382"/>
      <c r="D13" s="382"/>
      <c r="E13" s="382"/>
      <c r="F13" s="382"/>
      <c r="G13" s="382"/>
      <c r="H13" s="382"/>
    </row>
    <row r="14" spans="1:11">
      <c r="A14" s="125">
        <v>14</v>
      </c>
      <c r="B14" s="382"/>
      <c r="C14" s="382"/>
      <c r="D14" s="382"/>
      <c r="E14" s="382"/>
      <c r="F14" s="382"/>
      <c r="G14" s="382"/>
      <c r="H14" s="382"/>
    </row>
    <row r="15" spans="1:11">
      <c r="A15" s="125">
        <v>15</v>
      </c>
      <c r="B15" s="382"/>
      <c r="C15" s="382"/>
      <c r="D15" s="382"/>
      <c r="E15" s="382"/>
      <c r="F15" s="382"/>
      <c r="G15" s="382"/>
      <c r="H15" s="382"/>
    </row>
    <row r="16" spans="1:11">
      <c r="A16" s="125">
        <v>16</v>
      </c>
      <c r="B16" s="382"/>
      <c r="C16" s="382"/>
      <c r="D16" s="382"/>
      <c r="E16" s="382"/>
      <c r="F16" s="382"/>
      <c r="G16" s="382"/>
      <c r="H16" s="382"/>
    </row>
    <row r="17" spans="1:2">
      <c r="A17" s="125">
        <v>17</v>
      </c>
    </row>
    <row r="18" spans="1:2">
      <c r="A18" s="125">
        <v>18</v>
      </c>
      <c r="B18" s="124" t="s">
        <v>144</v>
      </c>
    </row>
    <row r="19" spans="1:2">
      <c r="A19" s="125">
        <v>19</v>
      </c>
      <c r="B19" s="124" t="s">
        <v>141</v>
      </c>
    </row>
    <row r="20" spans="1:2">
      <c r="A20" s="125">
        <v>20</v>
      </c>
      <c r="B20" s="124" t="s">
        <v>142</v>
      </c>
    </row>
    <row r="21" spans="1:2">
      <c r="A21" s="125">
        <v>21</v>
      </c>
      <c r="B21" s="124" t="s">
        <v>143</v>
      </c>
    </row>
    <row r="22" spans="1:2">
      <c r="A22" s="125">
        <v>22</v>
      </c>
    </row>
    <row r="23" spans="1:2">
      <c r="A23" s="125">
        <v>23</v>
      </c>
    </row>
    <row r="24" spans="1:2">
      <c r="A24" s="125">
        <v>24</v>
      </c>
    </row>
    <row r="25" spans="1:2">
      <c r="A25" s="125">
        <v>25</v>
      </c>
    </row>
  </sheetData>
  <mergeCells count="3">
    <mergeCell ref="B9:H9"/>
    <mergeCell ref="B13:H16"/>
    <mergeCell ref="B12:H1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25</vt:i4>
      </vt:variant>
    </vt:vector>
  </HeadingPairs>
  <TitlesOfParts>
    <vt:vector size="31" baseType="lpstr">
      <vt:lpstr>Investment Memorandum</vt:lpstr>
      <vt:lpstr>Loan Amortization Schedule</vt:lpstr>
      <vt:lpstr>IRR Template (Var)</vt:lpstr>
      <vt:lpstr>ROI Template (Var)</vt:lpstr>
      <vt:lpstr>Notes</vt:lpstr>
      <vt:lpstr>Sheet3</vt:lpstr>
      <vt:lpstr>Beg_Bal</vt:lpstr>
      <vt:lpstr>Cum_Int</vt:lpstr>
      <vt:lpstr>Data</vt:lpstr>
      <vt:lpstr>End_Bal</vt:lpstr>
      <vt:lpstr>Extra_Pay</vt:lpstr>
      <vt:lpstr>Full_Print</vt:lpstr>
      <vt:lpstr>Int</vt:lpstr>
      <vt:lpstr>Interest_Rate</vt:lpstr>
      <vt:lpstr>Loan_Amount</vt:lpstr>
      <vt:lpstr>Loan_Start</vt:lpstr>
      <vt:lpstr>Loan_Years</vt:lpstr>
      <vt:lpstr>Num_Pmt_Per_Year</vt:lpstr>
      <vt:lpstr>Pay_Date</vt:lpstr>
      <vt:lpstr>Pay_Num</vt:lpstr>
      <vt:lpstr>Princ</vt:lpstr>
      <vt:lpstr>'Investment Memorandum'!Print_Area</vt:lpstr>
      <vt:lpstr>'Loan Amortization Schedule'!Print_Area</vt:lpstr>
      <vt:lpstr>'ROI Template (Var)'!Print_Area</vt:lpstr>
      <vt:lpstr>'Loan Amortization Schedule'!Print_Titles</vt:lpstr>
      <vt:lpstr>Sched_Pay</vt:lpstr>
      <vt:lpstr>Scheduled_Extra_Payments</vt:lpstr>
      <vt:lpstr>Scheduled_Interest_Rate</vt:lpstr>
      <vt:lpstr>Scheduled_Monthly_Payment</vt:lpstr>
      <vt:lpstr>Total_Interest</vt:lpstr>
      <vt:lpstr>Total_Pay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captnron2@sbcglobal.net</dc:creator>
  <cp:lastModifiedBy>T Craig Eschrich</cp:lastModifiedBy>
  <cp:lastPrinted>2016-06-13T23:54:15Z</cp:lastPrinted>
  <dcterms:created xsi:type="dcterms:W3CDTF">2015-08-07T17:45:31Z</dcterms:created>
  <dcterms:modified xsi:type="dcterms:W3CDTF">2016-07-23T04:33:53Z</dcterms:modified>
</cp:coreProperties>
</file>